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4240" windowHeight="11490" activeTab="1"/>
  </bookViews>
  <sheets>
    <sheet name="Прилож. №4 ВПО" sheetId="2" r:id="rId1"/>
    <sheet name="СПО" sheetId="4" r:id="rId2"/>
  </sheets>
  <definedNames>
    <definedName name="_xlnm._FilterDatabase" localSheetId="1" hidden="1">СПО!$D$165:$Q$178</definedName>
    <definedName name="sub_10004" localSheetId="0">'Прилож. №4 ВПО'!$A$94</definedName>
    <definedName name="sub_10005" localSheetId="0">'Прилож. №4 ВПО'!$A$111</definedName>
    <definedName name="sub_180301" localSheetId="0">'Прилож. №4 ВПО'!$A$54</definedName>
    <definedName name="sub_350305" localSheetId="0">'Прилож. №4 ВПО'!$A$85</definedName>
    <definedName name="sub_400000" localSheetId="0">'Прилож. №4 ВПО'!#REF!</definedName>
    <definedName name="sub_400301" localSheetId="0">'Прилож. №4 ВПО'!#REF!</definedName>
    <definedName name="sub_530301" localSheetId="0">'Прилож. №4 ВПО'!$A$153</definedName>
    <definedName name="sub_540000" localSheetId="0">'Прилож. №4 ВПО'!$A$180</definedName>
    <definedName name="sub_8350405" localSheetId="0">'Прилож. №4 ВПО'!$A$252</definedName>
    <definedName name="sub_8460000" localSheetId="0">'Прилож. №4 ВПО'!$A$123</definedName>
    <definedName name="_xlnm.Print_Area" localSheetId="0">'Прилож. №4 ВПО'!$A$1:$Q$445</definedName>
  </definedNames>
  <calcPr calcId="145621"/>
</workbook>
</file>

<file path=xl/calcChain.xml><?xml version="1.0" encoding="utf-8"?>
<calcChain xmlns="http://schemas.openxmlformats.org/spreadsheetml/2006/main">
  <c r="E445" i="2" l="1"/>
  <c r="F445" i="2"/>
  <c r="G445" i="2"/>
  <c r="H445" i="2"/>
  <c r="I445" i="2"/>
  <c r="J445" i="2"/>
  <c r="K445" i="2"/>
  <c r="L445" i="2"/>
  <c r="M445" i="2"/>
  <c r="N445" i="2"/>
  <c r="O445" i="2"/>
  <c r="P445" i="2"/>
  <c r="Q445" i="2"/>
  <c r="D445" i="2"/>
  <c r="E315" i="2"/>
  <c r="F315" i="2"/>
  <c r="G315" i="2"/>
  <c r="H315" i="2"/>
  <c r="I315" i="2"/>
  <c r="J315" i="2"/>
  <c r="K315" i="2"/>
  <c r="L315" i="2"/>
  <c r="M315" i="2"/>
  <c r="N315" i="2"/>
  <c r="O315" i="2"/>
  <c r="P315" i="2"/>
  <c r="Q315" i="2"/>
  <c r="D315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D187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D93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E318" i="4" l="1"/>
  <c r="F318" i="4"/>
  <c r="G318" i="4"/>
  <c r="H318" i="4"/>
  <c r="I318" i="4"/>
  <c r="J318" i="4"/>
  <c r="K318" i="4"/>
  <c r="L318" i="4"/>
  <c r="M318" i="4"/>
  <c r="N318" i="4"/>
  <c r="O318" i="4"/>
  <c r="P318" i="4"/>
  <c r="Q318" i="4"/>
  <c r="D318" i="4"/>
  <c r="Q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D317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D316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D275" i="4"/>
  <c r="Q261" i="4"/>
  <c r="P261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D252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D24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D235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D180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D179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D173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D162" i="4"/>
  <c r="E444" i="2" l="1"/>
  <c r="F444" i="2"/>
  <c r="G444" i="2"/>
  <c r="H444" i="2"/>
  <c r="I444" i="2"/>
  <c r="J444" i="2"/>
  <c r="K444" i="2"/>
  <c r="L444" i="2"/>
  <c r="M444" i="2"/>
  <c r="N444" i="2"/>
  <c r="O444" i="2"/>
  <c r="P444" i="2"/>
  <c r="Q444" i="2"/>
  <c r="D444" i="2"/>
  <c r="G374" i="2"/>
  <c r="H374" i="2"/>
  <c r="I374" i="2"/>
  <c r="J374" i="2"/>
  <c r="K374" i="2"/>
  <c r="L374" i="2"/>
  <c r="M374" i="2"/>
  <c r="N374" i="2"/>
  <c r="O374" i="2"/>
  <c r="P374" i="2"/>
  <c r="Q374" i="2"/>
  <c r="F374" i="2"/>
  <c r="E374" i="2"/>
  <c r="D374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D325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E204" i="2"/>
  <c r="F204" i="2"/>
  <c r="G204" i="2"/>
  <c r="E205" i="2"/>
  <c r="F205" i="2"/>
  <c r="H205" i="2"/>
  <c r="I205" i="2"/>
  <c r="E440" i="2"/>
  <c r="F440" i="2"/>
  <c r="G440" i="2"/>
  <c r="H440" i="2"/>
  <c r="I440" i="2"/>
  <c r="J440" i="2"/>
  <c r="K440" i="2"/>
  <c r="L440" i="2"/>
  <c r="M440" i="2"/>
  <c r="N440" i="2"/>
  <c r="O440" i="2"/>
  <c r="P440" i="2"/>
  <c r="Q440" i="2"/>
  <c r="D440" i="2"/>
  <c r="Q208" i="2" l="1"/>
  <c r="E208" i="2"/>
  <c r="M208" i="2"/>
  <c r="I208" i="2"/>
  <c r="P208" i="2"/>
  <c r="L208" i="2"/>
  <c r="H208" i="2"/>
  <c r="N208" i="2"/>
  <c r="J208" i="2"/>
  <c r="F208" i="2"/>
  <c r="O208" i="2"/>
  <c r="K208" i="2"/>
  <c r="G208" i="2"/>
  <c r="G370" i="2"/>
  <c r="H370" i="2"/>
  <c r="I370" i="2"/>
  <c r="J370" i="2"/>
  <c r="K370" i="2"/>
  <c r="L370" i="2"/>
  <c r="M370" i="2"/>
  <c r="N370" i="2"/>
  <c r="O370" i="2"/>
  <c r="P370" i="2"/>
  <c r="Q370" i="2"/>
  <c r="F370" i="2"/>
  <c r="Q334" i="2"/>
  <c r="P334" i="2"/>
  <c r="O334" i="2"/>
  <c r="J334" i="2"/>
  <c r="K334" i="2"/>
  <c r="L334" i="2"/>
  <c r="M334" i="2"/>
  <c r="N334" i="2"/>
  <c r="I334" i="2"/>
  <c r="H334" i="2"/>
  <c r="G334" i="2"/>
  <c r="F334" i="2"/>
  <c r="E334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Q331" i="2"/>
  <c r="P331" i="2"/>
  <c r="O331" i="2"/>
  <c r="N331" i="2"/>
  <c r="M331" i="2"/>
  <c r="L331" i="2"/>
  <c r="K331" i="2"/>
  <c r="J331" i="2"/>
  <c r="H331" i="2"/>
  <c r="G331" i="2"/>
  <c r="F331" i="2"/>
  <c r="E331" i="2"/>
  <c r="G271" i="2"/>
  <c r="H271" i="2"/>
  <c r="I271" i="2"/>
  <c r="J271" i="2"/>
  <c r="K271" i="2"/>
  <c r="L271" i="2"/>
  <c r="M271" i="2"/>
  <c r="N271" i="2"/>
  <c r="O271" i="2"/>
  <c r="P271" i="2"/>
  <c r="Q271" i="2"/>
  <c r="F271" i="2"/>
  <c r="E271" i="2"/>
  <c r="Q270" i="2"/>
  <c r="L270" i="2"/>
  <c r="M270" i="2"/>
  <c r="N270" i="2"/>
  <c r="O270" i="2"/>
  <c r="P270" i="2"/>
  <c r="K270" i="2"/>
  <c r="H270" i="2"/>
  <c r="I270" i="2"/>
  <c r="J270" i="2"/>
  <c r="G270" i="2"/>
  <c r="F270" i="2"/>
  <c r="E270" i="2"/>
  <c r="D270" i="2"/>
  <c r="D272" i="2" s="1"/>
  <c r="I269" i="2"/>
  <c r="J269" i="2"/>
  <c r="K269" i="2"/>
  <c r="L269" i="2"/>
  <c r="M269" i="2"/>
  <c r="N269" i="2"/>
  <c r="N272" i="2" s="1"/>
  <c r="O269" i="2"/>
  <c r="P269" i="2"/>
  <c r="Q269" i="2"/>
  <c r="H269" i="2"/>
  <c r="G269" i="2"/>
  <c r="F269" i="2"/>
  <c r="E269" i="2"/>
  <c r="Q264" i="2"/>
  <c r="P264" i="2"/>
  <c r="O264" i="2"/>
  <c r="M264" i="2"/>
  <c r="N264" i="2"/>
  <c r="L264" i="2"/>
  <c r="K264" i="2"/>
  <c r="J264" i="2"/>
  <c r="I264" i="2"/>
  <c r="H264" i="2"/>
  <c r="G264" i="2"/>
  <c r="F264" i="2"/>
  <c r="E264" i="2"/>
  <c r="Q263" i="2"/>
  <c r="O263" i="2"/>
  <c r="P263" i="2"/>
  <c r="N263" i="2"/>
  <c r="M263" i="2"/>
  <c r="L263" i="2"/>
  <c r="K263" i="2"/>
  <c r="I263" i="2"/>
  <c r="J263" i="2"/>
  <c r="H263" i="2"/>
  <c r="G263" i="2"/>
  <c r="F263" i="2"/>
  <c r="E263" i="2"/>
  <c r="Q262" i="2"/>
  <c r="I262" i="2"/>
  <c r="J262" i="2"/>
  <c r="K262" i="2"/>
  <c r="L262" i="2"/>
  <c r="M262" i="2"/>
  <c r="N262" i="2"/>
  <c r="O262" i="2"/>
  <c r="P262" i="2"/>
  <c r="H262" i="2"/>
  <c r="G262" i="2"/>
  <c r="F262" i="2"/>
  <c r="E262" i="2"/>
  <c r="G237" i="2"/>
  <c r="H237" i="2"/>
  <c r="I237" i="2"/>
  <c r="J237" i="2"/>
  <c r="K237" i="2"/>
  <c r="L237" i="2"/>
  <c r="M237" i="2"/>
  <c r="N237" i="2"/>
  <c r="O237" i="2"/>
  <c r="P237" i="2"/>
  <c r="Q237" i="2"/>
  <c r="F237" i="2"/>
  <c r="E237" i="2"/>
  <c r="G236" i="2"/>
  <c r="H236" i="2"/>
  <c r="I236" i="2"/>
  <c r="J236" i="2"/>
  <c r="K236" i="2"/>
  <c r="L236" i="2"/>
  <c r="M236" i="2"/>
  <c r="N236" i="2"/>
  <c r="O236" i="2"/>
  <c r="P236" i="2"/>
  <c r="Q236" i="2"/>
  <c r="F236" i="2"/>
  <c r="E236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G217" i="2"/>
  <c r="H217" i="2"/>
  <c r="I217" i="2"/>
  <c r="J217" i="2"/>
  <c r="K217" i="2"/>
  <c r="L217" i="2"/>
  <c r="M217" i="2"/>
  <c r="N217" i="2"/>
  <c r="O217" i="2"/>
  <c r="P217" i="2"/>
  <c r="Q217" i="2"/>
  <c r="F217" i="2"/>
  <c r="E217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N215" i="2"/>
  <c r="O215" i="2"/>
  <c r="P215" i="2"/>
  <c r="Q215" i="2"/>
  <c r="M215" i="2"/>
  <c r="L215" i="2"/>
  <c r="G215" i="2"/>
  <c r="H215" i="2"/>
  <c r="I215" i="2"/>
  <c r="J215" i="2"/>
  <c r="K215" i="2"/>
  <c r="F215" i="2"/>
  <c r="E215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G210" i="2"/>
  <c r="H210" i="2"/>
  <c r="I210" i="2"/>
  <c r="J210" i="2"/>
  <c r="K210" i="2"/>
  <c r="L210" i="2"/>
  <c r="M210" i="2"/>
  <c r="N210" i="2"/>
  <c r="O210" i="2"/>
  <c r="P210" i="2"/>
  <c r="Q210" i="2"/>
  <c r="F210" i="2"/>
  <c r="E210" i="2"/>
  <c r="H183" i="2"/>
  <c r="G183" i="2"/>
  <c r="P183" i="2"/>
  <c r="Q183" i="2"/>
  <c r="O183" i="2"/>
  <c r="O182" i="2"/>
  <c r="P182" i="2"/>
  <c r="Q182" i="2"/>
  <c r="N182" i="2"/>
  <c r="I182" i="2"/>
  <c r="H182" i="2"/>
  <c r="G182" i="2"/>
  <c r="Q181" i="2"/>
  <c r="P181" i="2"/>
  <c r="L181" i="2"/>
  <c r="K181" i="2"/>
  <c r="I181" i="2"/>
  <c r="O137" i="2"/>
  <c r="M137" i="2"/>
  <c r="K137" i="2"/>
  <c r="I137" i="2"/>
  <c r="I131" i="2"/>
  <c r="I124" i="2"/>
  <c r="Q121" i="2"/>
  <c r="P121" i="2"/>
  <c r="N121" i="2"/>
  <c r="K121" i="2"/>
  <c r="I121" i="2"/>
  <c r="P117" i="2"/>
  <c r="Q117" i="2"/>
  <c r="O117" i="2"/>
  <c r="K117" i="2"/>
  <c r="L117" i="2"/>
  <c r="M117" i="2"/>
  <c r="N117" i="2"/>
  <c r="J117" i="2"/>
  <c r="I117" i="2"/>
  <c r="G117" i="2"/>
  <c r="H117" i="2"/>
  <c r="F117" i="2"/>
  <c r="E117" i="2"/>
  <c r="D117" i="2"/>
  <c r="J116" i="2"/>
  <c r="K116" i="2"/>
  <c r="L116" i="2"/>
  <c r="M116" i="2"/>
  <c r="N116" i="2"/>
  <c r="O116" i="2"/>
  <c r="P116" i="2"/>
  <c r="Q116" i="2"/>
  <c r="I116" i="2"/>
  <c r="H116" i="2"/>
  <c r="G116" i="2"/>
  <c r="F116" i="2"/>
  <c r="E116" i="2"/>
  <c r="D116" i="2"/>
  <c r="J114" i="2"/>
  <c r="K114" i="2"/>
  <c r="L114" i="2"/>
  <c r="N114" i="2"/>
  <c r="O114" i="2"/>
  <c r="P114" i="2"/>
  <c r="Q114" i="2"/>
  <c r="M114" i="2"/>
  <c r="I114" i="2"/>
  <c r="H114" i="2"/>
  <c r="G114" i="2"/>
  <c r="F114" i="2"/>
  <c r="E114" i="2"/>
  <c r="D114" i="2"/>
  <c r="P113" i="2"/>
  <c r="Q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N104" i="2"/>
  <c r="L104" i="2"/>
  <c r="K104" i="2"/>
  <c r="G104" i="2"/>
  <c r="N100" i="2"/>
  <c r="L100" i="2"/>
  <c r="K100" i="2"/>
  <c r="G10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H31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N25" i="2"/>
  <c r="L25" i="2"/>
  <c r="J25" i="2"/>
  <c r="I25" i="2"/>
  <c r="Q21" i="2"/>
  <c r="M21" i="2"/>
  <c r="N21" i="2"/>
  <c r="P21" i="2"/>
  <c r="O21" i="2"/>
  <c r="L21" i="2"/>
  <c r="K21" i="2"/>
  <c r="J21" i="2"/>
  <c r="I21" i="2"/>
  <c r="H21" i="2"/>
  <c r="G21" i="2"/>
  <c r="F21" i="2"/>
  <c r="E21" i="2"/>
  <c r="D21" i="2"/>
  <c r="Q18" i="2"/>
  <c r="P18" i="2"/>
  <c r="O18" i="2"/>
  <c r="N18" i="2"/>
  <c r="L18" i="2"/>
  <c r="M18" i="2"/>
  <c r="K18" i="2"/>
  <c r="J18" i="2"/>
  <c r="I18" i="2"/>
  <c r="G18" i="2"/>
  <c r="H18" i="2"/>
  <c r="F18" i="2"/>
  <c r="E18" i="2"/>
  <c r="D18" i="2"/>
  <c r="N16" i="2"/>
  <c r="O16" i="2"/>
  <c r="P16" i="2"/>
  <c r="Q16" i="2"/>
  <c r="M16" i="2"/>
  <c r="L16" i="2"/>
  <c r="K16" i="2"/>
  <c r="J16" i="2"/>
  <c r="I16" i="2"/>
  <c r="H16" i="2"/>
  <c r="G16" i="2"/>
  <c r="F16" i="2"/>
  <c r="E16" i="2"/>
  <c r="D16" i="2"/>
  <c r="P9" i="2"/>
  <c r="N9" i="2"/>
  <c r="J9" i="2"/>
  <c r="G9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J299" i="4"/>
  <c r="K299" i="4"/>
  <c r="L299" i="4"/>
  <c r="M299" i="4"/>
  <c r="N299" i="4"/>
  <c r="O299" i="4"/>
  <c r="P299" i="4"/>
  <c r="Q299" i="4"/>
  <c r="I299" i="4"/>
  <c r="J297" i="4"/>
  <c r="K297" i="4"/>
  <c r="L297" i="4"/>
  <c r="M297" i="4"/>
  <c r="N297" i="4"/>
  <c r="O297" i="4"/>
  <c r="P297" i="4"/>
  <c r="Q297" i="4"/>
  <c r="I297" i="4"/>
  <c r="J296" i="4"/>
  <c r="K296" i="4"/>
  <c r="L296" i="4"/>
  <c r="M296" i="4"/>
  <c r="N296" i="4"/>
  <c r="O296" i="4"/>
  <c r="P296" i="4"/>
  <c r="Q296" i="4"/>
  <c r="I296" i="4"/>
  <c r="Q295" i="4"/>
  <c r="J295" i="4"/>
  <c r="K295" i="4"/>
  <c r="L295" i="4"/>
  <c r="M295" i="4"/>
  <c r="N295" i="4"/>
  <c r="O295" i="4"/>
  <c r="P295" i="4"/>
  <c r="I295" i="4"/>
  <c r="M294" i="4"/>
  <c r="N294" i="4"/>
  <c r="O294" i="4"/>
  <c r="P294" i="4"/>
  <c r="Q294" i="4"/>
  <c r="L294" i="4"/>
  <c r="J294" i="4"/>
  <c r="K294" i="4"/>
  <c r="I294" i="4"/>
  <c r="E294" i="4"/>
  <c r="F294" i="4"/>
  <c r="G294" i="4"/>
  <c r="H294" i="4"/>
  <c r="D294" i="4"/>
  <c r="J293" i="4"/>
  <c r="K293" i="4"/>
  <c r="L293" i="4"/>
  <c r="M293" i="4"/>
  <c r="N293" i="4"/>
  <c r="O293" i="4"/>
  <c r="P293" i="4"/>
  <c r="Q293" i="4"/>
  <c r="I293" i="4"/>
  <c r="P291" i="4"/>
  <c r="Q291" i="4"/>
  <c r="O291" i="4"/>
  <c r="M291" i="4"/>
  <c r="N291" i="4"/>
  <c r="L291" i="4"/>
  <c r="H291" i="4"/>
  <c r="I291" i="4"/>
  <c r="J291" i="4"/>
  <c r="K291" i="4"/>
  <c r="G291" i="4"/>
  <c r="E291" i="4"/>
  <c r="F291" i="4"/>
  <c r="D291" i="4"/>
  <c r="J290" i="4"/>
  <c r="K290" i="4"/>
  <c r="L290" i="4"/>
  <c r="M290" i="4"/>
  <c r="N290" i="4"/>
  <c r="O290" i="4"/>
  <c r="P290" i="4"/>
  <c r="Q290" i="4"/>
  <c r="I290" i="4"/>
  <c r="H288" i="4"/>
  <c r="I288" i="4"/>
  <c r="J288" i="4"/>
  <c r="K288" i="4"/>
  <c r="L288" i="4"/>
  <c r="M288" i="4"/>
  <c r="G288" i="4"/>
  <c r="M287" i="4"/>
  <c r="N287" i="4"/>
  <c r="O287" i="4"/>
  <c r="P287" i="4"/>
  <c r="Q287" i="4"/>
  <c r="L287" i="4"/>
  <c r="H287" i="4"/>
  <c r="I287" i="4"/>
  <c r="J287" i="4"/>
  <c r="K287" i="4"/>
  <c r="G287" i="4"/>
  <c r="E287" i="4"/>
  <c r="F287" i="4"/>
  <c r="D287" i="4"/>
  <c r="M286" i="4"/>
  <c r="N286" i="4"/>
  <c r="O286" i="4"/>
  <c r="P286" i="4"/>
  <c r="Q286" i="4"/>
  <c r="L286" i="4"/>
  <c r="H286" i="4"/>
  <c r="I286" i="4"/>
  <c r="J286" i="4"/>
  <c r="K286" i="4"/>
  <c r="G286" i="4"/>
  <c r="E286" i="4"/>
  <c r="F286" i="4"/>
  <c r="D286" i="4"/>
  <c r="I283" i="4"/>
  <c r="J283" i="4"/>
  <c r="K283" i="4"/>
  <c r="L283" i="4"/>
  <c r="M283" i="4"/>
  <c r="N283" i="4"/>
  <c r="O283" i="4"/>
  <c r="P283" i="4"/>
  <c r="Q283" i="4"/>
  <c r="H283" i="4"/>
  <c r="H281" i="4"/>
  <c r="I281" i="4"/>
  <c r="J281" i="4"/>
  <c r="K281" i="4"/>
  <c r="L281" i="4"/>
  <c r="M281" i="4"/>
  <c r="N281" i="4"/>
  <c r="O281" i="4"/>
  <c r="P281" i="4"/>
  <c r="Q281" i="4"/>
  <c r="Q280" i="4"/>
  <c r="P280" i="4"/>
  <c r="O280" i="4"/>
  <c r="N280" i="4"/>
  <c r="M280" i="4"/>
  <c r="L280" i="4"/>
  <c r="K280" i="4"/>
  <c r="J280" i="4"/>
  <c r="I280" i="4"/>
  <c r="H280" i="4"/>
  <c r="E273" i="4"/>
  <c r="F273" i="4"/>
  <c r="G273" i="4"/>
  <c r="H273" i="4"/>
  <c r="I273" i="4"/>
  <c r="J273" i="4"/>
  <c r="L273" i="4"/>
  <c r="M273" i="4"/>
  <c r="N273" i="4"/>
  <c r="O273" i="4"/>
  <c r="P273" i="4"/>
  <c r="Q273" i="4"/>
  <c r="K273" i="4"/>
  <c r="D273" i="4"/>
  <c r="L269" i="4"/>
  <c r="M269" i="4"/>
  <c r="O269" i="4"/>
  <c r="Q269" i="4"/>
  <c r="P269" i="4"/>
  <c r="N269" i="4"/>
  <c r="K269" i="4"/>
  <c r="I269" i="4"/>
  <c r="J269" i="4"/>
  <c r="H269" i="4"/>
  <c r="G269" i="4"/>
  <c r="F269" i="4"/>
  <c r="E269" i="4"/>
  <c r="D269" i="4"/>
  <c r="J268" i="4"/>
  <c r="K268" i="4"/>
  <c r="L268" i="4"/>
  <c r="M268" i="4"/>
  <c r="N268" i="4"/>
  <c r="O268" i="4"/>
  <c r="P268" i="4"/>
  <c r="Q268" i="4"/>
  <c r="I268" i="4"/>
  <c r="H268" i="4"/>
  <c r="G268" i="4"/>
  <c r="F268" i="4"/>
  <c r="E268" i="4"/>
  <c r="J267" i="4"/>
  <c r="K267" i="4"/>
  <c r="L267" i="4"/>
  <c r="M267" i="4"/>
  <c r="N267" i="4"/>
  <c r="O267" i="4"/>
  <c r="P267" i="4"/>
  <c r="Q267" i="4"/>
  <c r="I267" i="4"/>
  <c r="H266" i="4"/>
  <c r="I266" i="4"/>
  <c r="J266" i="4"/>
  <c r="K266" i="4"/>
  <c r="M266" i="4"/>
  <c r="N266" i="4"/>
  <c r="O266" i="4"/>
  <c r="P266" i="4"/>
  <c r="Q266" i="4"/>
  <c r="L266" i="4"/>
  <c r="G266" i="4"/>
  <c r="F266" i="4"/>
  <c r="E266" i="4"/>
  <c r="D266" i="4"/>
  <c r="O265" i="4"/>
  <c r="P265" i="4"/>
  <c r="Q265" i="4"/>
  <c r="N265" i="4"/>
  <c r="M265" i="4"/>
  <c r="L265" i="4"/>
  <c r="K265" i="4"/>
  <c r="J265" i="4"/>
  <c r="I265" i="4"/>
  <c r="H265" i="4"/>
  <c r="G265" i="4"/>
  <c r="F265" i="4"/>
  <c r="E265" i="4"/>
  <c r="D265" i="4"/>
  <c r="O264" i="4"/>
  <c r="P264" i="4"/>
  <c r="Q264" i="4"/>
  <c r="N264" i="4"/>
  <c r="M264" i="4"/>
  <c r="L264" i="4"/>
  <c r="K264" i="4"/>
  <c r="J264" i="4"/>
  <c r="I264" i="4"/>
  <c r="H264" i="4"/>
  <c r="G264" i="4"/>
  <c r="F264" i="4"/>
  <c r="E264" i="4"/>
  <c r="D264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D171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D166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D249" i="4"/>
  <c r="D248" i="4"/>
  <c r="E404" i="2"/>
  <c r="F404" i="2"/>
  <c r="G404" i="2"/>
  <c r="H404" i="2"/>
  <c r="I404" i="2"/>
  <c r="J404" i="2"/>
  <c r="K404" i="2"/>
  <c r="L404" i="2"/>
  <c r="M404" i="2"/>
  <c r="N404" i="2"/>
  <c r="O404" i="2"/>
  <c r="P404" i="2"/>
  <c r="Q404" i="2"/>
  <c r="E405" i="2"/>
  <c r="F405" i="2"/>
  <c r="G405" i="2"/>
  <c r="H405" i="2"/>
  <c r="I405" i="2"/>
  <c r="J405" i="2"/>
  <c r="K405" i="2"/>
  <c r="L405" i="2"/>
  <c r="M405" i="2"/>
  <c r="N405" i="2"/>
  <c r="O405" i="2"/>
  <c r="P405" i="2"/>
  <c r="Q405" i="2"/>
  <c r="D405" i="2"/>
  <c r="D404" i="2"/>
  <c r="D333" i="2"/>
  <c r="I331" i="2"/>
  <c r="D331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D249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D248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D86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D84" i="2"/>
  <c r="M272" i="2" l="1"/>
  <c r="Q406" i="2"/>
  <c r="M406" i="2"/>
  <c r="I406" i="2"/>
  <c r="E406" i="2"/>
  <c r="K406" i="2"/>
  <c r="F272" i="2"/>
  <c r="O406" i="2"/>
  <c r="F118" i="2"/>
  <c r="G272" i="2"/>
  <c r="O272" i="2"/>
  <c r="K272" i="2"/>
  <c r="D406" i="2"/>
  <c r="P406" i="2"/>
  <c r="L406" i="2"/>
  <c r="H406" i="2"/>
  <c r="H272" i="2"/>
  <c r="J272" i="2"/>
  <c r="G406" i="2"/>
  <c r="E272" i="2"/>
  <c r="Q272" i="2"/>
  <c r="I272" i="2"/>
  <c r="N406" i="2"/>
  <c r="J406" i="2"/>
  <c r="F406" i="2"/>
  <c r="M118" i="2"/>
  <c r="P272" i="2"/>
  <c r="L272" i="2"/>
  <c r="E118" i="2"/>
  <c r="I118" i="2"/>
  <c r="P118" i="2"/>
  <c r="N118" i="2"/>
  <c r="G118" i="2"/>
  <c r="K118" i="2"/>
  <c r="O118" i="2"/>
  <c r="J118" i="2"/>
  <c r="D118" i="2"/>
  <c r="H118" i="2"/>
  <c r="L118" i="2"/>
  <c r="Q118" i="2"/>
  <c r="L255" i="4"/>
  <c r="K255" i="4"/>
  <c r="J255" i="4"/>
  <c r="I255" i="4"/>
  <c r="H255" i="4"/>
  <c r="G255" i="4"/>
  <c r="F255" i="4"/>
  <c r="E255" i="4"/>
  <c r="D255" i="4"/>
  <c r="L271" i="4"/>
  <c r="K271" i="4"/>
  <c r="J271" i="4"/>
  <c r="I271" i="4"/>
  <c r="H271" i="4"/>
  <c r="G271" i="4"/>
  <c r="F271" i="4"/>
  <c r="E271" i="4"/>
  <c r="D271" i="4"/>
  <c r="L207" i="4"/>
  <c r="K207" i="4"/>
  <c r="J207" i="4"/>
  <c r="I207" i="4"/>
  <c r="H207" i="4"/>
  <c r="G207" i="4"/>
  <c r="F207" i="4"/>
  <c r="E207" i="4"/>
  <c r="D207" i="4"/>
  <c r="L206" i="4"/>
  <c r="K206" i="4"/>
  <c r="J206" i="4"/>
  <c r="H206" i="4"/>
  <c r="I206" i="4"/>
  <c r="G206" i="4"/>
  <c r="F206" i="4"/>
  <c r="E206" i="4"/>
  <c r="D206" i="4"/>
  <c r="E205" i="4"/>
  <c r="F205" i="4"/>
  <c r="G205" i="4"/>
  <c r="H205" i="4"/>
  <c r="I205" i="4"/>
  <c r="J205" i="4"/>
  <c r="K205" i="4"/>
  <c r="L205" i="4"/>
  <c r="D205" i="4"/>
  <c r="K204" i="4"/>
  <c r="L204" i="4"/>
  <c r="J204" i="4"/>
  <c r="I204" i="4"/>
  <c r="H204" i="4"/>
  <c r="G204" i="4"/>
  <c r="F204" i="4"/>
  <c r="E204" i="4"/>
  <c r="D204" i="4"/>
  <c r="G203" i="4"/>
  <c r="H203" i="4"/>
  <c r="I203" i="4"/>
  <c r="J203" i="4"/>
  <c r="K203" i="4"/>
  <c r="L203" i="4"/>
  <c r="F203" i="4"/>
  <c r="E203" i="4"/>
  <c r="D203" i="4"/>
  <c r="J104" i="2"/>
  <c r="I104" i="2"/>
  <c r="H104" i="2"/>
  <c r="F104" i="2"/>
  <c r="E104" i="2"/>
  <c r="D104" i="2"/>
  <c r="E98" i="2"/>
  <c r="F98" i="2"/>
  <c r="G98" i="2"/>
  <c r="H98" i="2"/>
  <c r="I98" i="2"/>
  <c r="J98" i="2"/>
  <c r="K98" i="2"/>
  <c r="L98" i="2"/>
  <c r="D98" i="2"/>
  <c r="E97" i="2"/>
  <c r="F97" i="2"/>
  <c r="G97" i="2"/>
  <c r="H97" i="2"/>
  <c r="I97" i="2"/>
  <c r="J97" i="2"/>
  <c r="K97" i="2"/>
  <c r="L97" i="2"/>
  <c r="D97" i="2"/>
  <c r="L96" i="2"/>
  <c r="K96" i="2"/>
  <c r="J96" i="2"/>
  <c r="I96" i="2"/>
  <c r="H96" i="2"/>
  <c r="G96" i="2"/>
  <c r="F96" i="2"/>
  <c r="E96" i="2"/>
  <c r="D96" i="2"/>
  <c r="E131" i="2" l="1"/>
  <c r="F131" i="2"/>
  <c r="G131" i="2"/>
  <c r="H131" i="2"/>
  <c r="J131" i="2"/>
  <c r="K131" i="2"/>
  <c r="L131" i="2"/>
  <c r="M131" i="2"/>
  <c r="N131" i="2"/>
  <c r="O131" i="2"/>
  <c r="P131" i="2"/>
  <c r="Q131" i="2"/>
  <c r="D131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Q283" i="2"/>
  <c r="D283" i="2"/>
  <c r="Q282" i="2"/>
  <c r="Q284" i="2" s="1"/>
  <c r="P282" i="2"/>
  <c r="O282" i="2"/>
  <c r="N282" i="2"/>
  <c r="N284" i="2" s="1"/>
  <c r="M282" i="2"/>
  <c r="M284" i="2" s="1"/>
  <c r="L282" i="2"/>
  <c r="L284" i="2" s="1"/>
  <c r="K282" i="2"/>
  <c r="J282" i="2"/>
  <c r="J284" i="2" s="1"/>
  <c r="I282" i="2"/>
  <c r="I284" i="2" s="1"/>
  <c r="H282" i="2"/>
  <c r="H284" i="2" s="1"/>
  <c r="G282" i="2"/>
  <c r="F282" i="2"/>
  <c r="F284" i="2" s="1"/>
  <c r="E282" i="2"/>
  <c r="E284" i="2" s="1"/>
  <c r="D282" i="2"/>
  <c r="D284" i="2" s="1"/>
  <c r="P284" i="2" l="1"/>
  <c r="G284" i="2"/>
  <c r="K284" i="2"/>
  <c r="O284" i="2"/>
  <c r="P230" i="4"/>
  <c r="Q230" i="4"/>
  <c r="O230" i="4"/>
  <c r="N230" i="4"/>
  <c r="M230" i="4"/>
  <c r="F230" i="4"/>
  <c r="G230" i="4"/>
  <c r="H230" i="4"/>
  <c r="I230" i="4"/>
  <c r="J230" i="4"/>
  <c r="K230" i="4"/>
  <c r="L230" i="4"/>
  <c r="E230" i="4"/>
  <c r="D230" i="4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D234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D233" i="2"/>
  <c r="O55" i="2"/>
  <c r="N55" i="2"/>
  <c r="Q55" i="2"/>
  <c r="P55" i="2"/>
  <c r="M55" i="2"/>
  <c r="L55" i="2"/>
  <c r="K55" i="2"/>
  <c r="J55" i="2"/>
  <c r="I55" i="2"/>
  <c r="H55" i="2"/>
  <c r="G55" i="2"/>
  <c r="F55" i="2"/>
  <c r="E55" i="2"/>
  <c r="D55" i="2"/>
  <c r="Q54" i="2"/>
  <c r="P54" i="2"/>
  <c r="O54" i="2"/>
  <c r="N54" i="2"/>
  <c r="M54" i="2"/>
  <c r="K54" i="2"/>
  <c r="L54" i="2"/>
  <c r="J54" i="2"/>
  <c r="I54" i="2"/>
  <c r="F54" i="2"/>
  <c r="G54" i="2"/>
  <c r="H54" i="2"/>
  <c r="E54" i="2"/>
  <c r="D54" i="2"/>
  <c r="Q116" i="4"/>
  <c r="P116" i="4"/>
  <c r="O116" i="4"/>
  <c r="N116" i="4"/>
  <c r="M116" i="4"/>
  <c r="F116" i="4"/>
  <c r="G116" i="4"/>
  <c r="H116" i="4"/>
  <c r="I116" i="4"/>
  <c r="J116" i="4"/>
  <c r="K116" i="4"/>
  <c r="L116" i="4"/>
  <c r="E116" i="4"/>
  <c r="D116" i="4"/>
  <c r="Q115" i="4"/>
  <c r="Q114" i="4"/>
  <c r="P113" i="4"/>
  <c r="P115" i="4"/>
  <c r="P114" i="4"/>
  <c r="O113" i="4"/>
  <c r="O114" i="4"/>
  <c r="O115" i="4"/>
  <c r="M113" i="4"/>
  <c r="N113" i="4"/>
  <c r="M114" i="4"/>
  <c r="N114" i="4"/>
  <c r="M115" i="4"/>
  <c r="N115" i="4"/>
  <c r="L113" i="4"/>
  <c r="L114" i="4"/>
  <c r="L115" i="4"/>
  <c r="H114" i="4"/>
  <c r="I114" i="4"/>
  <c r="J114" i="4"/>
  <c r="K114" i="4"/>
  <c r="H115" i="4"/>
  <c r="I115" i="4"/>
  <c r="J115" i="4"/>
  <c r="K115" i="4"/>
  <c r="G115" i="4"/>
  <c r="G114" i="4"/>
  <c r="F115" i="4"/>
  <c r="F114" i="4"/>
  <c r="E113" i="4"/>
  <c r="E114" i="4"/>
  <c r="D115" i="4"/>
  <c r="D114" i="4"/>
  <c r="D113" i="4"/>
  <c r="N92" i="4"/>
  <c r="O92" i="4"/>
  <c r="P92" i="4"/>
  <c r="Q92" i="4"/>
  <c r="M92" i="4"/>
  <c r="L92" i="4"/>
  <c r="K92" i="4"/>
  <c r="E92" i="4"/>
  <c r="F92" i="4"/>
  <c r="G92" i="4"/>
  <c r="H92" i="4"/>
  <c r="I92" i="4"/>
  <c r="J92" i="4"/>
  <c r="D92" i="4"/>
  <c r="Q46" i="2"/>
  <c r="P46" i="2"/>
  <c r="L46" i="2"/>
  <c r="M46" i="2"/>
  <c r="N46" i="2"/>
  <c r="O46" i="2"/>
  <c r="K46" i="2"/>
  <c r="J46" i="2"/>
  <c r="I46" i="2"/>
  <c r="H46" i="2"/>
  <c r="G46" i="2"/>
  <c r="F46" i="2"/>
  <c r="E46" i="2"/>
  <c r="D46" i="2"/>
  <c r="Q220" i="4"/>
  <c r="P220" i="4"/>
  <c r="N220" i="4"/>
  <c r="O220" i="4"/>
  <c r="M220" i="4"/>
  <c r="F220" i="4"/>
  <c r="G220" i="4"/>
  <c r="H220" i="4"/>
  <c r="I220" i="4"/>
  <c r="J220" i="4"/>
  <c r="K220" i="4"/>
  <c r="L220" i="4"/>
  <c r="E220" i="4"/>
  <c r="D220" i="4"/>
  <c r="P219" i="4"/>
  <c r="Q219" i="4"/>
  <c r="O219" i="4"/>
  <c r="N219" i="4"/>
  <c r="M219" i="4"/>
  <c r="F219" i="4"/>
  <c r="G219" i="4"/>
  <c r="H219" i="4"/>
  <c r="I219" i="4"/>
  <c r="J219" i="4"/>
  <c r="K219" i="4"/>
  <c r="L219" i="4"/>
  <c r="E219" i="4"/>
  <c r="D219" i="4"/>
  <c r="O218" i="4"/>
  <c r="P218" i="4"/>
  <c r="Q218" i="4"/>
  <c r="N218" i="4"/>
  <c r="E218" i="4"/>
  <c r="F218" i="4"/>
  <c r="G218" i="4"/>
  <c r="H218" i="4"/>
  <c r="I218" i="4"/>
  <c r="J218" i="4"/>
  <c r="K218" i="4"/>
  <c r="L218" i="4"/>
  <c r="M218" i="4"/>
  <c r="D218" i="4"/>
  <c r="Q217" i="4"/>
  <c r="P217" i="4"/>
  <c r="N217" i="4"/>
  <c r="O217" i="4"/>
  <c r="M217" i="4"/>
  <c r="E217" i="4"/>
  <c r="F217" i="4"/>
  <c r="G217" i="4"/>
  <c r="H217" i="4"/>
  <c r="I217" i="4"/>
  <c r="J217" i="4"/>
  <c r="K217" i="4"/>
  <c r="L217" i="4"/>
  <c r="D217" i="4"/>
  <c r="Q86" i="4"/>
  <c r="N86" i="4"/>
  <c r="O86" i="4"/>
  <c r="P86" i="4"/>
  <c r="M86" i="4"/>
  <c r="F86" i="4"/>
  <c r="G86" i="4"/>
  <c r="H86" i="4"/>
  <c r="I86" i="4"/>
  <c r="J86" i="4"/>
  <c r="K86" i="4"/>
  <c r="L86" i="4"/>
  <c r="E86" i="4"/>
  <c r="D86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D57" i="4"/>
  <c r="F102" i="2" l="1"/>
  <c r="F110" i="2" s="1"/>
  <c r="G102" i="2"/>
  <c r="G110" i="2" s="1"/>
  <c r="H102" i="2"/>
  <c r="H110" i="2" s="1"/>
  <c r="I102" i="2"/>
  <c r="I110" i="2" s="1"/>
  <c r="J102" i="2"/>
  <c r="J110" i="2" s="1"/>
  <c r="K102" i="2"/>
  <c r="K110" i="2" s="1"/>
  <c r="L102" i="2"/>
  <c r="L110" i="2" s="1"/>
  <c r="M102" i="2"/>
  <c r="N102" i="2"/>
  <c r="O102" i="2"/>
  <c r="P102" i="2"/>
  <c r="Q102" i="2"/>
  <c r="E102" i="2"/>
  <c r="E110" i="2" s="1"/>
  <c r="D102" i="2"/>
  <c r="D62" i="2"/>
  <c r="P63" i="2"/>
  <c r="Q63" i="2"/>
  <c r="O63" i="2"/>
  <c r="M63" i="2"/>
  <c r="L63" i="2"/>
  <c r="H63" i="2"/>
  <c r="I63" i="2"/>
  <c r="J63" i="2"/>
  <c r="G63" i="2"/>
  <c r="N63" i="2"/>
  <c r="K63" i="2"/>
  <c r="F63" i="2"/>
  <c r="E63" i="2"/>
  <c r="D63" i="2"/>
  <c r="K22" i="2"/>
  <c r="L22" i="2"/>
  <c r="M22" i="2"/>
  <c r="N22" i="2"/>
  <c r="O22" i="2"/>
  <c r="P22" i="2"/>
  <c r="Q22" i="2"/>
  <c r="J22" i="2"/>
  <c r="G22" i="2"/>
  <c r="H22" i="2"/>
  <c r="I22" i="2"/>
  <c r="F22" i="2"/>
  <c r="E22" i="2"/>
  <c r="D22" i="2"/>
  <c r="Q223" i="2"/>
  <c r="P223" i="2"/>
  <c r="L223" i="2"/>
  <c r="J223" i="2"/>
  <c r="I223" i="2"/>
  <c r="H223" i="2"/>
  <c r="E223" i="2"/>
  <c r="E312" i="2" l="1"/>
  <c r="F312" i="2"/>
  <c r="G312" i="2"/>
  <c r="H312" i="2"/>
  <c r="I312" i="2"/>
  <c r="J312" i="2"/>
  <c r="K312" i="2"/>
  <c r="L312" i="2"/>
  <c r="M312" i="2"/>
  <c r="N312" i="2"/>
  <c r="O312" i="2"/>
  <c r="P312" i="2"/>
  <c r="Q312" i="2"/>
  <c r="D312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N260" i="2"/>
  <c r="J260" i="2"/>
  <c r="F260" i="2"/>
  <c r="P258" i="2"/>
  <c r="M258" i="2"/>
  <c r="I258" i="2"/>
  <c r="E258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D184" i="2"/>
  <c r="E124" i="2"/>
  <c r="F124" i="2"/>
  <c r="G124" i="2"/>
  <c r="H124" i="2"/>
  <c r="J124" i="2"/>
  <c r="K124" i="2"/>
  <c r="L124" i="2"/>
  <c r="L134" i="2" s="1"/>
  <c r="M124" i="2"/>
  <c r="N124" i="2"/>
  <c r="O124" i="2"/>
  <c r="P124" i="2"/>
  <c r="P134" i="2" s="1"/>
  <c r="Q124" i="2"/>
  <c r="E125" i="2"/>
  <c r="F125" i="2"/>
  <c r="G125" i="2"/>
  <c r="H125" i="2"/>
  <c r="I125" i="2"/>
  <c r="I134" i="2" s="1"/>
  <c r="J125" i="2"/>
  <c r="K125" i="2"/>
  <c r="L125" i="2"/>
  <c r="M125" i="2"/>
  <c r="N125" i="2"/>
  <c r="O125" i="2"/>
  <c r="P125" i="2"/>
  <c r="Q125" i="2"/>
  <c r="D125" i="2"/>
  <c r="D124" i="2"/>
  <c r="P104" i="2"/>
  <c r="M104" i="2"/>
  <c r="Q96" i="2"/>
  <c r="N96" i="2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D257" i="4"/>
  <c r="Q255" i="4"/>
  <c r="P255" i="4"/>
  <c r="O255" i="4"/>
  <c r="N255" i="4"/>
  <c r="M255" i="4"/>
  <c r="Q197" i="4"/>
  <c r="P197" i="4"/>
  <c r="O197" i="4"/>
  <c r="M197" i="4"/>
  <c r="N197" i="4"/>
  <c r="L197" i="4"/>
  <c r="J197" i="4"/>
  <c r="K197" i="4"/>
  <c r="I197" i="4"/>
  <c r="H197" i="4"/>
  <c r="G197" i="4"/>
  <c r="F197" i="4"/>
  <c r="E197" i="4"/>
  <c r="D197" i="4"/>
  <c r="E365" i="2"/>
  <c r="F365" i="2"/>
  <c r="G365" i="2"/>
  <c r="H365" i="2"/>
  <c r="I365" i="2"/>
  <c r="J365" i="2"/>
  <c r="L365" i="2"/>
  <c r="M365" i="2"/>
  <c r="N365" i="2"/>
  <c r="O365" i="2"/>
  <c r="P365" i="2"/>
  <c r="Q365" i="2"/>
  <c r="D365" i="2"/>
  <c r="E363" i="2"/>
  <c r="F363" i="2"/>
  <c r="G363" i="2"/>
  <c r="H363" i="2"/>
  <c r="I363" i="2"/>
  <c r="J363" i="2"/>
  <c r="K363" i="2"/>
  <c r="L363" i="2"/>
  <c r="M363" i="2"/>
  <c r="N363" i="2"/>
  <c r="O363" i="2"/>
  <c r="P363" i="2"/>
  <c r="Q363" i="2"/>
  <c r="D363" i="2"/>
  <c r="L257" i="2"/>
  <c r="N257" i="2"/>
  <c r="O257" i="2"/>
  <c r="P257" i="2"/>
  <c r="Q257" i="2"/>
  <c r="M257" i="2"/>
  <c r="E257" i="2"/>
  <c r="F257" i="2"/>
  <c r="G257" i="2"/>
  <c r="H257" i="2"/>
  <c r="I257" i="2"/>
  <c r="J257" i="2"/>
  <c r="K257" i="2"/>
  <c r="D257" i="2"/>
  <c r="Q256" i="2"/>
  <c r="P256" i="2"/>
  <c r="O256" i="2"/>
  <c r="N256" i="2"/>
  <c r="N265" i="2" s="1"/>
  <c r="M256" i="2"/>
  <c r="L256" i="2"/>
  <c r="K256" i="2"/>
  <c r="J256" i="2"/>
  <c r="I256" i="2"/>
  <c r="H256" i="2"/>
  <c r="G256" i="2"/>
  <c r="F256" i="2"/>
  <c r="E256" i="2"/>
  <c r="D256" i="2"/>
  <c r="O104" i="2"/>
  <c r="Q104" i="2"/>
  <c r="M98" i="2"/>
  <c r="N98" i="2"/>
  <c r="O98" i="2"/>
  <c r="P98" i="2"/>
  <c r="Q98" i="2"/>
  <c r="P96" i="2"/>
  <c r="O96" i="2"/>
  <c r="M96" i="2"/>
  <c r="D36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D29" i="2"/>
  <c r="M260" i="2"/>
  <c r="D205" i="2"/>
  <c r="N23" i="2"/>
  <c r="M23" i="2"/>
  <c r="L23" i="2"/>
  <c r="K23" i="2"/>
  <c r="J23" i="2"/>
  <c r="I23" i="2"/>
  <c r="H23" i="2"/>
  <c r="G23" i="2"/>
  <c r="F23" i="2"/>
  <c r="E23" i="2"/>
  <c r="D23" i="2"/>
  <c r="G260" i="2"/>
  <c r="E260" i="2"/>
  <c r="E265" i="2" l="1"/>
  <c r="M265" i="2"/>
  <c r="F265" i="2"/>
  <c r="J265" i="2"/>
  <c r="G265" i="2"/>
  <c r="O134" i="2"/>
  <c r="K134" i="2"/>
  <c r="F134" i="2"/>
  <c r="N134" i="2"/>
  <c r="J134" i="2"/>
  <c r="E134" i="2"/>
  <c r="Q134" i="2"/>
  <c r="M134" i="2"/>
  <c r="H134" i="2"/>
  <c r="D134" i="2"/>
  <c r="G134" i="2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D234" i="4"/>
  <c r="O161" i="4"/>
  <c r="P161" i="4"/>
  <c r="Q161" i="4"/>
  <c r="N161" i="4"/>
  <c r="M161" i="4"/>
  <c r="L161" i="4"/>
  <c r="K161" i="4"/>
  <c r="J161" i="4"/>
  <c r="I161" i="4"/>
  <c r="H161" i="4"/>
  <c r="G161" i="4"/>
  <c r="F161" i="4"/>
  <c r="E161" i="4"/>
  <c r="D161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H134" i="4"/>
  <c r="I134" i="4"/>
  <c r="J134" i="4"/>
  <c r="K134" i="4"/>
  <c r="L134" i="4"/>
  <c r="M134" i="4"/>
  <c r="N134" i="4"/>
  <c r="O134" i="4"/>
  <c r="P134" i="4"/>
  <c r="Q134" i="4"/>
  <c r="G134" i="4"/>
  <c r="F134" i="4"/>
  <c r="E134" i="4"/>
  <c r="D134" i="4"/>
  <c r="D131" i="4"/>
  <c r="D130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E133" i="4"/>
  <c r="D133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E132" i="4"/>
  <c r="D132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D129" i="4"/>
  <c r="N232" i="4"/>
  <c r="K232" i="4"/>
  <c r="H232" i="4"/>
  <c r="E232" i="4"/>
  <c r="N228" i="4"/>
  <c r="J228" i="4"/>
  <c r="G228" i="4"/>
  <c r="E228" i="4"/>
  <c r="P227" i="4"/>
  <c r="M227" i="4"/>
  <c r="K227" i="4"/>
  <c r="J227" i="4"/>
  <c r="I227" i="4"/>
  <c r="H227" i="4"/>
  <c r="G227" i="4"/>
  <c r="F227" i="4"/>
  <c r="E227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D224" i="4"/>
  <c r="Q113" i="4"/>
  <c r="K113" i="4"/>
  <c r="J113" i="4"/>
  <c r="I113" i="4"/>
  <c r="H113" i="4"/>
  <c r="G113" i="4"/>
  <c r="F11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G110" i="4"/>
  <c r="H110" i="4"/>
  <c r="I110" i="4"/>
  <c r="J110" i="4"/>
  <c r="K110" i="4"/>
  <c r="L110" i="4"/>
  <c r="M110" i="4"/>
  <c r="N110" i="4"/>
  <c r="O110" i="4"/>
  <c r="P110" i="4"/>
  <c r="Q110" i="4"/>
  <c r="F110" i="4"/>
  <c r="E110" i="4"/>
  <c r="D110" i="4"/>
  <c r="G100" i="4"/>
  <c r="H100" i="4"/>
  <c r="I100" i="4"/>
  <c r="J100" i="4"/>
  <c r="K100" i="4"/>
  <c r="L100" i="4"/>
  <c r="M100" i="4"/>
  <c r="N100" i="4"/>
  <c r="O100" i="4"/>
  <c r="P100" i="4"/>
  <c r="Q100" i="4"/>
  <c r="F100" i="4"/>
  <c r="E100" i="4"/>
  <c r="D100" i="4"/>
  <c r="L99" i="4"/>
  <c r="G99" i="4"/>
  <c r="E99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G87" i="4"/>
  <c r="H87" i="4"/>
  <c r="I87" i="4"/>
  <c r="J87" i="4"/>
  <c r="K87" i="4"/>
  <c r="L87" i="4"/>
  <c r="M87" i="4"/>
  <c r="N87" i="4"/>
  <c r="O87" i="4"/>
  <c r="P87" i="4"/>
  <c r="Q87" i="4"/>
  <c r="F87" i="4"/>
  <c r="E87" i="4"/>
  <c r="D87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I176" i="4" l="1"/>
  <c r="J176" i="4"/>
  <c r="K176" i="4"/>
  <c r="L176" i="4"/>
  <c r="M176" i="4"/>
  <c r="N176" i="4"/>
  <c r="O176" i="4"/>
  <c r="P176" i="4"/>
  <c r="Q176" i="4"/>
  <c r="H176" i="4"/>
  <c r="G176" i="4"/>
  <c r="F176" i="4"/>
  <c r="E176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D159" i="4"/>
  <c r="Q80" i="2"/>
  <c r="O80" i="2"/>
  <c r="P80" i="2"/>
  <c r="N80" i="2"/>
  <c r="K80" i="2"/>
  <c r="L80" i="2"/>
  <c r="M80" i="2"/>
  <c r="J80" i="2"/>
  <c r="I80" i="2"/>
  <c r="H80" i="2"/>
  <c r="G80" i="2"/>
  <c r="F80" i="2"/>
  <c r="E80" i="2"/>
  <c r="D80" i="2"/>
  <c r="P78" i="2"/>
  <c r="O78" i="2"/>
  <c r="J78" i="2"/>
  <c r="K78" i="2"/>
  <c r="L78" i="2"/>
  <c r="M78" i="2"/>
  <c r="N78" i="2"/>
  <c r="I78" i="2"/>
  <c r="F78" i="2"/>
  <c r="G78" i="2"/>
  <c r="H78" i="2"/>
  <c r="E78" i="2"/>
  <c r="D78" i="2"/>
  <c r="F165" i="4"/>
  <c r="G165" i="4"/>
  <c r="H165" i="4"/>
  <c r="I165" i="4"/>
  <c r="J165" i="4"/>
  <c r="K165" i="4"/>
  <c r="L165" i="4"/>
  <c r="M165" i="4"/>
  <c r="N165" i="4"/>
  <c r="O165" i="4"/>
  <c r="P165" i="4"/>
  <c r="Q165" i="4"/>
  <c r="E165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D13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E126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E127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E125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E121" i="4"/>
  <c r="E120" i="4"/>
  <c r="G119" i="4"/>
  <c r="H119" i="4"/>
  <c r="I119" i="4"/>
  <c r="J119" i="4"/>
  <c r="K119" i="4"/>
  <c r="L119" i="4"/>
  <c r="M119" i="4"/>
  <c r="N119" i="4"/>
  <c r="O119" i="4"/>
  <c r="P119" i="4"/>
  <c r="Q119" i="4"/>
  <c r="F119" i="4"/>
  <c r="E119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E118" i="4"/>
  <c r="M117" i="4"/>
  <c r="Q117" i="4"/>
  <c r="P117" i="4"/>
  <c r="O117" i="4"/>
  <c r="N117" i="4"/>
  <c r="L117" i="4"/>
  <c r="K117" i="4"/>
  <c r="J117" i="4"/>
  <c r="I117" i="4"/>
  <c r="H117" i="4"/>
  <c r="G117" i="4"/>
  <c r="F117" i="4"/>
  <c r="E117" i="4"/>
  <c r="E115" i="4"/>
  <c r="L112" i="4"/>
  <c r="F112" i="4"/>
  <c r="G112" i="4"/>
  <c r="E112" i="4"/>
  <c r="H112" i="4"/>
  <c r="I112" i="4"/>
  <c r="J112" i="4"/>
  <c r="K112" i="4"/>
  <c r="M112" i="4"/>
  <c r="N112" i="4"/>
  <c r="O112" i="4"/>
  <c r="P112" i="4"/>
  <c r="Q112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E111" i="4"/>
  <c r="Q109" i="4"/>
  <c r="N109" i="4"/>
  <c r="K109" i="4"/>
  <c r="J109" i="4"/>
  <c r="G109" i="4"/>
  <c r="F109" i="4"/>
  <c r="E109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E107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E106" i="4"/>
  <c r="L104" i="4"/>
  <c r="M104" i="4"/>
  <c r="N104" i="4"/>
  <c r="O104" i="4"/>
  <c r="P104" i="4"/>
  <c r="Q104" i="4"/>
  <c r="K104" i="4"/>
  <c r="J104" i="4"/>
  <c r="I104" i="4"/>
  <c r="H104" i="4"/>
  <c r="G104" i="4"/>
  <c r="F104" i="4"/>
  <c r="E104" i="4"/>
  <c r="Q103" i="4"/>
  <c r="P103" i="4"/>
  <c r="O103" i="4"/>
  <c r="N103" i="4"/>
  <c r="I103" i="4"/>
  <c r="J103" i="4"/>
  <c r="K103" i="4"/>
  <c r="L103" i="4"/>
  <c r="M103" i="4"/>
  <c r="H103" i="4"/>
  <c r="G103" i="4"/>
  <c r="F103" i="4"/>
  <c r="E103" i="4"/>
  <c r="F99" i="4"/>
  <c r="H99" i="4"/>
  <c r="I99" i="4"/>
  <c r="J99" i="4"/>
  <c r="K99" i="4"/>
  <c r="M99" i="4"/>
  <c r="N99" i="4"/>
  <c r="O99" i="4"/>
  <c r="P99" i="4"/>
  <c r="Q99" i="4"/>
  <c r="Q98" i="4"/>
  <c r="O98" i="4"/>
  <c r="M98" i="4"/>
  <c r="K98" i="4"/>
  <c r="H98" i="4"/>
  <c r="F98" i="4"/>
  <c r="E98" i="4"/>
  <c r="Q95" i="4"/>
  <c r="O95" i="4"/>
  <c r="M95" i="4"/>
  <c r="K95" i="4"/>
  <c r="H95" i="4"/>
  <c r="F95" i="4"/>
  <c r="E95" i="4"/>
  <c r="Q83" i="4"/>
  <c r="P83" i="4"/>
  <c r="O83" i="4"/>
  <c r="M83" i="4"/>
  <c r="N83" i="4"/>
  <c r="L83" i="4"/>
  <c r="K83" i="4"/>
  <c r="J83" i="4"/>
  <c r="I83" i="4"/>
  <c r="H83" i="4"/>
  <c r="G83" i="4"/>
  <c r="F83" i="4"/>
  <c r="E83" i="4"/>
  <c r="Q77" i="4"/>
  <c r="L77" i="4"/>
  <c r="G77" i="4"/>
  <c r="P76" i="4"/>
  <c r="Q76" i="4"/>
  <c r="O76" i="4"/>
  <c r="N76" i="4"/>
  <c r="M76" i="4"/>
  <c r="L76" i="4"/>
  <c r="K76" i="4"/>
  <c r="J76" i="4"/>
  <c r="I76" i="4"/>
  <c r="H76" i="4"/>
  <c r="G76" i="4"/>
  <c r="F76" i="4"/>
  <c r="E76" i="4"/>
  <c r="Q75" i="4"/>
  <c r="N75" i="4"/>
  <c r="L75" i="4"/>
  <c r="I75" i="4"/>
  <c r="G75" i="4"/>
  <c r="F75" i="4"/>
  <c r="P353" i="2"/>
  <c r="N353" i="2"/>
  <c r="L353" i="2"/>
  <c r="J353" i="2"/>
  <c r="H353" i="2"/>
  <c r="G353" i="2"/>
  <c r="P341" i="2"/>
  <c r="M341" i="2"/>
  <c r="K341" i="2"/>
  <c r="I341" i="2"/>
  <c r="H341" i="2"/>
  <c r="G341" i="2"/>
  <c r="D341" i="2"/>
  <c r="D127" i="4"/>
  <c r="D125" i="4"/>
  <c r="H109" i="4"/>
  <c r="I109" i="4"/>
  <c r="L109" i="4"/>
  <c r="M109" i="4"/>
  <c r="O109" i="4"/>
  <c r="P109" i="4"/>
  <c r="D109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D105" i="4"/>
  <c r="D106" i="4"/>
  <c r="Q337" i="2" l="1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D102" i="4"/>
  <c r="D101" i="4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D242" i="2"/>
  <c r="D24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D231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D229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D226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D224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D222" i="2"/>
  <c r="G223" i="2"/>
  <c r="K223" i="2"/>
  <c r="M223" i="2"/>
  <c r="N223" i="2"/>
  <c r="O223" i="2"/>
  <c r="F223" i="2"/>
  <c r="D223" i="2"/>
  <c r="D218" i="2"/>
  <c r="D215" i="2"/>
  <c r="D199" i="2"/>
  <c r="E183" i="2"/>
  <c r="F183" i="2"/>
  <c r="I183" i="2"/>
  <c r="J183" i="2"/>
  <c r="K183" i="2"/>
  <c r="L183" i="2"/>
  <c r="M183" i="2"/>
  <c r="N183" i="2"/>
  <c r="D183" i="2"/>
  <c r="M97" i="2"/>
  <c r="M110" i="2" s="1"/>
  <c r="N97" i="2"/>
  <c r="N110" i="2" s="1"/>
  <c r="O97" i="2"/>
  <c r="O110" i="2" s="1"/>
  <c r="P97" i="2"/>
  <c r="P110" i="2" s="1"/>
  <c r="Q97" i="2"/>
  <c r="Q110" i="2" s="1"/>
  <c r="Q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D79" i="2"/>
  <c r="Q74" i="2"/>
  <c r="P74" i="2"/>
  <c r="O74" i="2"/>
  <c r="N74" i="2"/>
  <c r="M74" i="2"/>
  <c r="L74" i="2"/>
  <c r="K74" i="2"/>
  <c r="J74" i="2"/>
  <c r="H74" i="2"/>
  <c r="I74" i="2"/>
  <c r="E74" i="2"/>
  <c r="F74" i="2"/>
  <c r="G74" i="2"/>
  <c r="D74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Q71" i="2"/>
  <c r="P71" i="2"/>
  <c r="N71" i="2"/>
  <c r="L71" i="2"/>
  <c r="J71" i="2"/>
  <c r="G71" i="2"/>
  <c r="D71" i="2"/>
  <c r="Q69" i="2"/>
  <c r="P69" i="2"/>
  <c r="N69" i="2"/>
  <c r="K69" i="2"/>
  <c r="J69" i="2"/>
  <c r="H69" i="2"/>
  <c r="G69" i="2"/>
  <c r="E69" i="2"/>
  <c r="D69" i="2"/>
  <c r="H68" i="2"/>
  <c r="E68" i="2"/>
  <c r="F68" i="2"/>
  <c r="J68" i="2"/>
  <c r="L68" i="2"/>
  <c r="N68" i="2"/>
  <c r="P68" i="2"/>
  <c r="D68" i="2"/>
  <c r="Q66" i="2"/>
  <c r="P66" i="2"/>
  <c r="O66" i="2"/>
  <c r="N66" i="2"/>
  <c r="M66" i="2"/>
  <c r="L66" i="2"/>
  <c r="K66" i="2"/>
  <c r="I66" i="2"/>
  <c r="H66" i="2"/>
  <c r="G66" i="2"/>
  <c r="F66" i="2"/>
  <c r="E66" i="2"/>
  <c r="Q65" i="2"/>
  <c r="P65" i="2"/>
  <c r="O65" i="2"/>
  <c r="N65" i="2"/>
  <c r="M65" i="2"/>
  <c r="K65" i="2"/>
  <c r="I65" i="2"/>
  <c r="G65" i="2"/>
  <c r="E65" i="2"/>
  <c r="F65" i="2"/>
  <c r="D65" i="2"/>
  <c r="P51" i="2"/>
  <c r="N51" i="2"/>
  <c r="L51" i="2"/>
  <c r="I51" i="2"/>
  <c r="H51" i="2"/>
  <c r="F51" i="2"/>
  <c r="Q52" i="2"/>
  <c r="P52" i="2"/>
  <c r="O52" i="2"/>
  <c r="N52" i="2"/>
  <c r="M52" i="2"/>
  <c r="L52" i="2"/>
  <c r="J52" i="2"/>
  <c r="K52" i="2"/>
  <c r="I52" i="2"/>
  <c r="H52" i="2"/>
  <c r="G52" i="2"/>
  <c r="F52" i="2"/>
  <c r="E52" i="2"/>
  <c r="D52" i="2"/>
  <c r="Q51" i="2"/>
  <c r="O51" i="2"/>
  <c r="M51" i="2"/>
  <c r="K51" i="2"/>
  <c r="J51" i="2"/>
  <c r="G51" i="2"/>
  <c r="E51" i="2"/>
  <c r="D51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D50" i="2"/>
  <c r="Q49" i="2"/>
  <c r="O49" i="2"/>
  <c r="L49" i="2"/>
  <c r="J49" i="2"/>
  <c r="G49" i="2"/>
  <c r="E49" i="2"/>
  <c r="F48" i="2"/>
  <c r="G48" i="2"/>
  <c r="H48" i="2"/>
  <c r="I48" i="2"/>
  <c r="J48" i="2"/>
  <c r="K48" i="2"/>
  <c r="L48" i="2"/>
  <c r="M48" i="2"/>
  <c r="N48" i="2"/>
  <c r="O48" i="2"/>
  <c r="P48" i="2"/>
  <c r="Q48" i="2"/>
  <c r="E48" i="2"/>
  <c r="D48" i="2"/>
  <c r="E339" i="2"/>
  <c r="F339" i="2"/>
  <c r="G339" i="2"/>
  <c r="H339" i="2"/>
  <c r="I339" i="2"/>
  <c r="J339" i="2"/>
  <c r="K339" i="2"/>
  <c r="L339" i="2"/>
  <c r="M339" i="2"/>
  <c r="N339" i="2"/>
  <c r="O339" i="2"/>
  <c r="P339" i="2"/>
  <c r="Q339" i="2"/>
  <c r="D339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D43" i="2"/>
  <c r="Q41" i="2"/>
  <c r="O41" i="2"/>
  <c r="M41" i="2"/>
  <c r="K41" i="2"/>
  <c r="I41" i="2"/>
  <c r="G41" i="2"/>
  <c r="E41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Q34" i="2"/>
  <c r="P34" i="2"/>
  <c r="N34" i="2"/>
  <c r="O34" i="2"/>
  <c r="M34" i="2"/>
  <c r="L34" i="2"/>
  <c r="K34" i="2"/>
  <c r="J34" i="2"/>
  <c r="I34" i="2"/>
  <c r="H34" i="2"/>
  <c r="G34" i="2"/>
  <c r="F34" i="2"/>
  <c r="E34" i="2"/>
  <c r="D34" i="2"/>
  <c r="Q33" i="2"/>
  <c r="P33" i="2"/>
  <c r="O33" i="2"/>
  <c r="N33" i="2"/>
  <c r="M33" i="2"/>
  <c r="K33" i="2"/>
  <c r="L33" i="2"/>
  <c r="J33" i="2"/>
  <c r="I33" i="2"/>
  <c r="H33" i="2"/>
  <c r="G33" i="2"/>
  <c r="F33" i="2"/>
  <c r="E33" i="2"/>
  <c r="D33" i="2"/>
  <c r="D76" i="4"/>
  <c r="Q31" i="2"/>
  <c r="P31" i="2"/>
  <c r="O31" i="2"/>
  <c r="N31" i="2"/>
  <c r="M31" i="2"/>
  <c r="L31" i="2"/>
  <c r="K31" i="2"/>
  <c r="J31" i="2"/>
  <c r="I31" i="2"/>
  <c r="G31" i="2"/>
  <c r="F31" i="2"/>
  <c r="E31" i="2"/>
  <c r="D31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D19" i="2"/>
  <c r="F314" i="4"/>
  <c r="G314" i="4"/>
  <c r="H314" i="4"/>
  <c r="I314" i="4"/>
  <c r="F315" i="4"/>
  <c r="G315" i="4"/>
  <c r="H315" i="4"/>
  <c r="I315" i="4"/>
  <c r="E315" i="4"/>
  <c r="E31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D309" i="4"/>
  <c r="D312" i="4"/>
  <c r="D311" i="4"/>
  <c r="D310" i="4"/>
  <c r="D308" i="4"/>
  <c r="D307" i="4"/>
  <c r="D306" i="4"/>
  <c r="D305" i="4"/>
  <c r="D304" i="4"/>
  <c r="E295" i="4"/>
  <c r="F295" i="4"/>
  <c r="G295" i="4"/>
  <c r="H295" i="4"/>
  <c r="E296" i="4"/>
  <c r="F296" i="4"/>
  <c r="G296" i="4"/>
  <c r="H296" i="4"/>
  <c r="E297" i="4"/>
  <c r="F297" i="4"/>
  <c r="G297" i="4"/>
  <c r="H297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E299" i="4"/>
  <c r="F299" i="4"/>
  <c r="G299" i="4"/>
  <c r="H299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D302" i="4"/>
  <c r="D301" i="4"/>
  <c r="D298" i="4"/>
  <c r="D300" i="4"/>
  <c r="D299" i="4"/>
  <c r="D297" i="4"/>
  <c r="D296" i="4"/>
  <c r="D295" i="4"/>
  <c r="E293" i="4"/>
  <c r="F293" i="4"/>
  <c r="G293" i="4"/>
  <c r="H293" i="4"/>
  <c r="D293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E288" i="4"/>
  <c r="F288" i="4"/>
  <c r="N288" i="4"/>
  <c r="O288" i="4"/>
  <c r="P288" i="4"/>
  <c r="Q288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E290" i="4"/>
  <c r="F290" i="4"/>
  <c r="G290" i="4"/>
  <c r="H290" i="4"/>
  <c r="D290" i="4"/>
  <c r="D289" i="4"/>
  <c r="D288" i="4"/>
  <c r="D285" i="4"/>
  <c r="E281" i="4"/>
  <c r="F281" i="4"/>
  <c r="G281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E283" i="4"/>
  <c r="F283" i="4"/>
  <c r="G283" i="4"/>
  <c r="D283" i="4"/>
  <c r="D282" i="4"/>
  <c r="D281" i="4"/>
  <c r="E280" i="4"/>
  <c r="F280" i="4"/>
  <c r="G280" i="4"/>
  <c r="D280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D278" i="4"/>
  <c r="D81" i="2" l="1"/>
  <c r="E309" i="2"/>
  <c r="F309" i="2"/>
  <c r="G309" i="2"/>
  <c r="H309" i="2"/>
  <c r="I309" i="2"/>
  <c r="J309" i="2"/>
  <c r="K309" i="2"/>
  <c r="L309" i="2"/>
  <c r="M309" i="2"/>
  <c r="N309" i="2"/>
  <c r="O309" i="2"/>
  <c r="P309" i="2"/>
  <c r="Q309" i="2"/>
  <c r="E310" i="2"/>
  <c r="F310" i="2"/>
  <c r="G310" i="2"/>
  <c r="H310" i="2"/>
  <c r="I310" i="2"/>
  <c r="J310" i="2"/>
  <c r="K310" i="2"/>
  <c r="L310" i="2"/>
  <c r="M310" i="2"/>
  <c r="N310" i="2"/>
  <c r="O310" i="2"/>
  <c r="P310" i="2"/>
  <c r="Q310" i="2"/>
  <c r="E311" i="2"/>
  <c r="F311" i="2"/>
  <c r="G311" i="2"/>
  <c r="H311" i="2"/>
  <c r="I311" i="2"/>
  <c r="J311" i="2"/>
  <c r="K311" i="2"/>
  <c r="L311" i="2"/>
  <c r="M311" i="2"/>
  <c r="N311" i="2"/>
  <c r="O311" i="2"/>
  <c r="P311" i="2"/>
  <c r="Q311" i="2"/>
  <c r="E313" i="2"/>
  <c r="F313" i="2"/>
  <c r="G313" i="2"/>
  <c r="H313" i="2"/>
  <c r="I313" i="2"/>
  <c r="J313" i="2"/>
  <c r="K313" i="2"/>
  <c r="L313" i="2"/>
  <c r="M313" i="2"/>
  <c r="N313" i="2"/>
  <c r="O313" i="2"/>
  <c r="P313" i="2"/>
  <c r="Q313" i="2"/>
  <c r="D310" i="2"/>
  <c r="D311" i="2"/>
  <c r="D313" i="2"/>
  <c r="D309" i="2"/>
  <c r="E302" i="2"/>
  <c r="F302" i="2"/>
  <c r="G302" i="2"/>
  <c r="H302" i="2"/>
  <c r="I302" i="2"/>
  <c r="J302" i="2"/>
  <c r="K302" i="2"/>
  <c r="L302" i="2"/>
  <c r="M302" i="2"/>
  <c r="N302" i="2"/>
  <c r="O302" i="2"/>
  <c r="P302" i="2"/>
  <c r="Q302" i="2"/>
  <c r="E303" i="2"/>
  <c r="F303" i="2"/>
  <c r="G303" i="2"/>
  <c r="H303" i="2"/>
  <c r="I303" i="2"/>
  <c r="J303" i="2"/>
  <c r="K303" i="2"/>
  <c r="L303" i="2"/>
  <c r="M303" i="2"/>
  <c r="N303" i="2"/>
  <c r="O303" i="2"/>
  <c r="P303" i="2"/>
  <c r="Q303" i="2"/>
  <c r="E304" i="2"/>
  <c r="F304" i="2"/>
  <c r="G304" i="2"/>
  <c r="H304" i="2"/>
  <c r="I304" i="2"/>
  <c r="J304" i="2"/>
  <c r="K304" i="2"/>
  <c r="L304" i="2"/>
  <c r="M304" i="2"/>
  <c r="N304" i="2"/>
  <c r="O304" i="2"/>
  <c r="P304" i="2"/>
  <c r="Q304" i="2"/>
  <c r="E305" i="2"/>
  <c r="F305" i="2"/>
  <c r="G305" i="2"/>
  <c r="H305" i="2"/>
  <c r="I305" i="2"/>
  <c r="J305" i="2"/>
  <c r="K305" i="2"/>
  <c r="L305" i="2"/>
  <c r="M305" i="2"/>
  <c r="N305" i="2"/>
  <c r="O305" i="2"/>
  <c r="P305" i="2"/>
  <c r="Q305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Q306" i="2"/>
  <c r="E307" i="2"/>
  <c r="F307" i="2"/>
  <c r="G307" i="2"/>
  <c r="H307" i="2"/>
  <c r="I307" i="2"/>
  <c r="J307" i="2"/>
  <c r="K307" i="2"/>
  <c r="L307" i="2"/>
  <c r="M307" i="2"/>
  <c r="N307" i="2"/>
  <c r="O307" i="2"/>
  <c r="P307" i="2"/>
  <c r="Q307" i="2"/>
  <c r="E298" i="2"/>
  <c r="F298" i="2"/>
  <c r="G298" i="2"/>
  <c r="H298" i="2"/>
  <c r="I298" i="2"/>
  <c r="J298" i="2"/>
  <c r="K298" i="2"/>
  <c r="L298" i="2"/>
  <c r="M298" i="2"/>
  <c r="N298" i="2"/>
  <c r="O298" i="2"/>
  <c r="P298" i="2"/>
  <c r="Q298" i="2"/>
  <c r="E299" i="2"/>
  <c r="F299" i="2"/>
  <c r="G299" i="2"/>
  <c r="H299" i="2"/>
  <c r="I299" i="2"/>
  <c r="J299" i="2"/>
  <c r="K299" i="2"/>
  <c r="L299" i="2"/>
  <c r="M299" i="2"/>
  <c r="N299" i="2"/>
  <c r="O299" i="2"/>
  <c r="P299" i="2"/>
  <c r="Q299" i="2"/>
  <c r="E300" i="2"/>
  <c r="F300" i="2"/>
  <c r="G300" i="2"/>
  <c r="H300" i="2"/>
  <c r="I300" i="2"/>
  <c r="J300" i="2"/>
  <c r="K300" i="2"/>
  <c r="L300" i="2"/>
  <c r="M300" i="2"/>
  <c r="N300" i="2"/>
  <c r="O300" i="2"/>
  <c r="P300" i="2"/>
  <c r="Q300" i="2"/>
  <c r="D307" i="2"/>
  <c r="D306" i="2"/>
  <c r="D305" i="2"/>
  <c r="D304" i="2"/>
  <c r="D303" i="2"/>
  <c r="D302" i="2"/>
  <c r="D300" i="2"/>
  <c r="D299" i="2"/>
  <c r="D298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Q292" i="2"/>
  <c r="E293" i="2"/>
  <c r="F293" i="2"/>
  <c r="G293" i="2"/>
  <c r="H293" i="2"/>
  <c r="I293" i="2"/>
  <c r="J293" i="2"/>
  <c r="K293" i="2"/>
  <c r="L293" i="2"/>
  <c r="M293" i="2"/>
  <c r="N293" i="2"/>
  <c r="O293" i="2"/>
  <c r="P293" i="2"/>
  <c r="Q293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E296" i="2"/>
  <c r="F296" i="2"/>
  <c r="G296" i="2"/>
  <c r="H296" i="2"/>
  <c r="I296" i="2"/>
  <c r="J296" i="2"/>
  <c r="K296" i="2"/>
  <c r="L296" i="2"/>
  <c r="M296" i="2"/>
  <c r="N296" i="2"/>
  <c r="O296" i="2"/>
  <c r="P296" i="2"/>
  <c r="Q296" i="2"/>
  <c r="D292" i="2"/>
  <c r="D293" i="2"/>
  <c r="D295" i="2"/>
  <c r="D296" i="2"/>
  <c r="D291" i="2"/>
  <c r="E287" i="2"/>
  <c r="F287" i="2"/>
  <c r="G287" i="2"/>
  <c r="H287" i="2"/>
  <c r="I287" i="2"/>
  <c r="J287" i="2"/>
  <c r="K287" i="2"/>
  <c r="L287" i="2"/>
  <c r="M287" i="2"/>
  <c r="N287" i="2"/>
  <c r="O287" i="2"/>
  <c r="P287" i="2"/>
  <c r="Q287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Q288" i="2"/>
  <c r="E289" i="2"/>
  <c r="F289" i="2"/>
  <c r="G289" i="2"/>
  <c r="H289" i="2"/>
  <c r="I289" i="2"/>
  <c r="J289" i="2"/>
  <c r="K289" i="2"/>
  <c r="L289" i="2"/>
  <c r="M289" i="2"/>
  <c r="N289" i="2"/>
  <c r="O289" i="2"/>
  <c r="P289" i="2"/>
  <c r="Q289" i="2"/>
  <c r="D288" i="2"/>
  <c r="D289" i="2"/>
  <c r="D287" i="2"/>
  <c r="E399" i="2"/>
  <c r="F399" i="2"/>
  <c r="D399" i="2"/>
  <c r="E397" i="2"/>
  <c r="F397" i="2"/>
  <c r="G397" i="2"/>
  <c r="H397" i="2"/>
  <c r="I397" i="2"/>
  <c r="J397" i="2"/>
  <c r="K397" i="2"/>
  <c r="L397" i="2"/>
  <c r="M397" i="2"/>
  <c r="N397" i="2"/>
  <c r="O397" i="2"/>
  <c r="P397" i="2"/>
  <c r="Q397" i="2"/>
  <c r="D397" i="2"/>
  <c r="F396" i="2"/>
  <c r="G396" i="2"/>
  <c r="H396" i="2"/>
  <c r="I396" i="2"/>
  <c r="J396" i="2"/>
  <c r="K396" i="2"/>
  <c r="L396" i="2"/>
  <c r="M396" i="2"/>
  <c r="N396" i="2"/>
  <c r="O396" i="2"/>
  <c r="P396" i="2"/>
  <c r="Q396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D395" i="2"/>
  <c r="E394" i="2"/>
  <c r="F394" i="2"/>
  <c r="G394" i="2"/>
  <c r="H394" i="2"/>
  <c r="I394" i="2"/>
  <c r="J394" i="2"/>
  <c r="K394" i="2"/>
  <c r="L394" i="2"/>
  <c r="M394" i="2"/>
  <c r="N394" i="2"/>
  <c r="O394" i="2"/>
  <c r="P394" i="2"/>
  <c r="Q394" i="2"/>
  <c r="D394" i="2"/>
  <c r="H393" i="2"/>
  <c r="G393" i="2"/>
  <c r="F393" i="2"/>
  <c r="G391" i="2"/>
  <c r="H391" i="2"/>
  <c r="I391" i="2"/>
  <c r="J391" i="2"/>
  <c r="F391" i="2"/>
  <c r="E391" i="2"/>
  <c r="D391" i="2"/>
  <c r="F390" i="2"/>
  <c r="E390" i="2"/>
  <c r="D390" i="2"/>
  <c r="E388" i="2"/>
  <c r="F388" i="2"/>
  <c r="G388" i="2"/>
  <c r="H388" i="2"/>
  <c r="I388" i="2"/>
  <c r="J388" i="2"/>
  <c r="K388" i="2"/>
  <c r="L388" i="2"/>
  <c r="M388" i="2"/>
  <c r="N388" i="2"/>
  <c r="O388" i="2"/>
  <c r="P388" i="2"/>
  <c r="Q388" i="2"/>
  <c r="E389" i="2"/>
  <c r="G389" i="2"/>
  <c r="H389" i="2"/>
  <c r="I389" i="2"/>
  <c r="J389" i="2"/>
  <c r="K389" i="2"/>
  <c r="L389" i="2"/>
  <c r="M389" i="2"/>
  <c r="N389" i="2"/>
  <c r="O389" i="2"/>
  <c r="P389" i="2"/>
  <c r="Q389" i="2"/>
  <c r="D389" i="2"/>
  <c r="D388" i="2"/>
  <c r="J387" i="2"/>
  <c r="I387" i="2"/>
  <c r="H387" i="2"/>
  <c r="G387" i="2"/>
  <c r="F387" i="2"/>
  <c r="F386" i="2"/>
  <c r="G386" i="2"/>
  <c r="E385" i="2"/>
  <c r="F385" i="2"/>
  <c r="G385" i="2"/>
  <c r="H385" i="2"/>
  <c r="I385" i="2"/>
  <c r="J385" i="2"/>
  <c r="K385" i="2"/>
  <c r="L385" i="2"/>
  <c r="M385" i="2"/>
  <c r="N385" i="2"/>
  <c r="O385" i="2"/>
  <c r="P385" i="2"/>
  <c r="Q385" i="2"/>
  <c r="D385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D383" i="2"/>
  <c r="I382" i="2"/>
  <c r="H382" i="2"/>
  <c r="G382" i="2"/>
  <c r="F382" i="2"/>
  <c r="F381" i="2"/>
  <c r="G381" i="2"/>
  <c r="E381" i="2"/>
  <c r="E380" i="2"/>
  <c r="F380" i="2"/>
  <c r="G380" i="2"/>
  <c r="H380" i="2"/>
  <c r="I380" i="2"/>
  <c r="N380" i="2"/>
  <c r="O380" i="2"/>
  <c r="P380" i="2"/>
  <c r="Q380" i="2"/>
  <c r="Q379" i="2"/>
  <c r="E379" i="2"/>
  <c r="F379" i="2"/>
  <c r="G379" i="2"/>
  <c r="H379" i="2"/>
  <c r="I379" i="2"/>
  <c r="J379" i="2"/>
  <c r="K379" i="2"/>
  <c r="L379" i="2"/>
  <c r="M379" i="2"/>
  <c r="N379" i="2"/>
  <c r="O379" i="2"/>
  <c r="P379" i="2"/>
  <c r="D380" i="2"/>
  <c r="D379" i="2"/>
  <c r="L377" i="2"/>
  <c r="K377" i="2"/>
  <c r="J377" i="2"/>
  <c r="F377" i="2"/>
  <c r="E377" i="2"/>
  <c r="D377" i="2"/>
  <c r="E181" i="2"/>
  <c r="F181" i="2"/>
  <c r="G181" i="2"/>
  <c r="H181" i="2"/>
  <c r="J181" i="2"/>
  <c r="M181" i="2"/>
  <c r="N181" i="2"/>
  <c r="O181" i="2"/>
  <c r="E182" i="2"/>
  <c r="F182" i="2"/>
  <c r="J182" i="2"/>
  <c r="K182" i="2"/>
  <c r="L182" i="2"/>
  <c r="M182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D185" i="2"/>
  <c r="D182" i="2"/>
  <c r="D18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D177" i="2"/>
  <c r="D178" i="2"/>
  <c r="D179" i="2"/>
  <c r="D176" i="2"/>
  <c r="D175" i="2"/>
  <c r="D174" i="2"/>
  <c r="D173" i="2"/>
  <c r="D172" i="2"/>
  <c r="D171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D170" i="2"/>
  <c r="D169" i="2"/>
  <c r="D168" i="2"/>
  <c r="D167" i="2"/>
  <c r="D166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D165" i="2"/>
  <c r="D164" i="2"/>
  <c r="D163" i="2"/>
  <c r="D162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D156" i="2"/>
  <c r="D157" i="2"/>
  <c r="D158" i="2"/>
  <c r="D159" i="2"/>
  <c r="D160" i="2"/>
  <c r="D161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D154" i="2"/>
  <c r="D155" i="2"/>
  <c r="D153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D151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D150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D148" i="2"/>
  <c r="D147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E145" i="2"/>
  <c r="D145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D144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D143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E142" i="2"/>
  <c r="D142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D141" i="2"/>
  <c r="H140" i="2"/>
  <c r="I140" i="2"/>
  <c r="G140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E137" i="2"/>
  <c r="F137" i="2"/>
  <c r="G137" i="2"/>
  <c r="H137" i="2"/>
  <c r="J137" i="2"/>
  <c r="L137" i="2"/>
  <c r="N137" i="2"/>
  <c r="P137" i="2"/>
  <c r="Q137" i="2"/>
  <c r="D137" i="2"/>
  <c r="J400" i="2" l="1"/>
  <c r="M400" i="2"/>
  <c r="I400" i="2"/>
  <c r="P314" i="2"/>
  <c r="L314" i="2"/>
  <c r="H314" i="2"/>
  <c r="E400" i="2"/>
  <c r="L400" i="2"/>
  <c r="O400" i="2"/>
  <c r="G400" i="2"/>
  <c r="D314" i="2"/>
  <c r="N314" i="2"/>
  <c r="J314" i="2"/>
  <c r="F314" i="2"/>
  <c r="F400" i="2"/>
  <c r="N400" i="2"/>
  <c r="Q314" i="2"/>
  <c r="M314" i="2"/>
  <c r="I314" i="2"/>
  <c r="E314" i="2"/>
  <c r="Q186" i="2"/>
  <c r="J186" i="2"/>
  <c r="E186" i="2"/>
  <c r="D400" i="2"/>
  <c r="K400" i="2"/>
  <c r="P400" i="2"/>
  <c r="H400" i="2"/>
  <c r="Q400" i="2"/>
  <c r="O314" i="2"/>
  <c r="K314" i="2"/>
  <c r="G314" i="2"/>
  <c r="P186" i="2"/>
  <c r="H186" i="2"/>
  <c r="I186" i="2"/>
  <c r="N186" i="2"/>
  <c r="G186" i="2"/>
  <c r="M186" i="2"/>
  <c r="D186" i="2"/>
  <c r="L186" i="2"/>
  <c r="F186" i="2"/>
  <c r="O186" i="2"/>
  <c r="K186" i="2"/>
  <c r="Q73" i="4"/>
  <c r="Q72" i="4"/>
  <c r="P73" i="4"/>
  <c r="P72" i="4"/>
  <c r="O73" i="4"/>
  <c r="O72" i="4"/>
  <c r="N73" i="4"/>
  <c r="N72" i="4"/>
  <c r="M73" i="4"/>
  <c r="M72" i="4"/>
  <c r="L73" i="4"/>
  <c r="L72" i="4"/>
  <c r="K73" i="4"/>
  <c r="K72" i="4"/>
  <c r="J73" i="4"/>
  <c r="J72" i="4"/>
  <c r="I73" i="4"/>
  <c r="I72" i="4"/>
  <c r="H72" i="4"/>
  <c r="H73" i="4"/>
  <c r="G73" i="4"/>
  <c r="G72" i="4"/>
  <c r="F72" i="4"/>
  <c r="F73" i="4"/>
  <c r="E73" i="4"/>
  <c r="E72" i="4"/>
  <c r="D73" i="4"/>
  <c r="D72" i="4"/>
  <c r="Q71" i="4"/>
  <c r="P71" i="4"/>
  <c r="O71" i="4"/>
  <c r="N71" i="4"/>
  <c r="M71" i="4"/>
  <c r="L71" i="4"/>
  <c r="K71" i="4"/>
  <c r="I71" i="4"/>
  <c r="J71" i="4"/>
  <c r="H71" i="4"/>
  <c r="G71" i="4"/>
  <c r="F71" i="4"/>
  <c r="E71" i="4"/>
  <c r="D71" i="4"/>
  <c r="O70" i="4"/>
  <c r="N70" i="4"/>
  <c r="M70" i="4"/>
  <c r="L70" i="4"/>
  <c r="K70" i="4"/>
  <c r="J70" i="4"/>
  <c r="I70" i="4"/>
  <c r="H70" i="4"/>
  <c r="G70" i="4"/>
  <c r="F70" i="4"/>
  <c r="E70" i="4"/>
  <c r="P70" i="4"/>
  <c r="Q70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70" i="4"/>
  <c r="D69" i="4"/>
  <c r="M68" i="4"/>
  <c r="L68" i="4"/>
  <c r="K68" i="4"/>
  <c r="J68" i="4"/>
  <c r="I68" i="4"/>
  <c r="H68" i="4"/>
  <c r="G68" i="4"/>
  <c r="F68" i="4"/>
  <c r="E68" i="4"/>
  <c r="D68" i="4"/>
  <c r="N68" i="4"/>
  <c r="O68" i="4"/>
  <c r="P68" i="4"/>
  <c r="Q68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O65" i="4"/>
  <c r="N65" i="4"/>
  <c r="M65" i="4"/>
  <c r="L65" i="4"/>
  <c r="K65" i="4"/>
  <c r="J65" i="4"/>
  <c r="I65" i="4"/>
  <c r="H65" i="4"/>
  <c r="G65" i="4"/>
  <c r="F65" i="4"/>
  <c r="E65" i="4"/>
  <c r="D65" i="4"/>
  <c r="P65" i="4"/>
  <c r="Q65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Q62" i="4" l="1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Q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O56" i="4"/>
  <c r="P56" i="4"/>
  <c r="Q56" i="4"/>
  <c r="N56" i="4"/>
  <c r="M56" i="4"/>
  <c r="L56" i="4"/>
  <c r="J56" i="4"/>
  <c r="K56" i="4"/>
  <c r="I56" i="4"/>
  <c r="H56" i="4"/>
  <c r="G56" i="4"/>
  <c r="F56" i="4"/>
  <c r="E56" i="4"/>
  <c r="D56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Q52" i="4"/>
  <c r="P52" i="4"/>
  <c r="O52" i="4"/>
  <c r="N52" i="4"/>
  <c r="L52" i="4"/>
  <c r="M52" i="4"/>
  <c r="K52" i="4"/>
  <c r="J52" i="4"/>
  <c r="I52" i="4"/>
  <c r="H52" i="4"/>
  <c r="F52" i="4"/>
  <c r="E52" i="4"/>
  <c r="Q51" i="4"/>
  <c r="P51" i="4"/>
  <c r="O51" i="4"/>
  <c r="N51" i="4"/>
  <c r="M51" i="4"/>
  <c r="L51" i="4"/>
  <c r="K51" i="4"/>
  <c r="J51" i="4"/>
  <c r="I51" i="4"/>
  <c r="H51" i="4"/>
  <c r="G51" i="4"/>
  <c r="E51" i="4"/>
  <c r="D55" i="4"/>
  <c r="D54" i="4"/>
  <c r="D53" i="4"/>
  <c r="D52" i="4"/>
  <c r="D51" i="4"/>
  <c r="Q50" i="4"/>
  <c r="P50" i="4"/>
  <c r="O50" i="4"/>
  <c r="N50" i="4"/>
  <c r="M50" i="4"/>
  <c r="L50" i="4"/>
  <c r="K50" i="4"/>
  <c r="J50" i="4"/>
  <c r="I50" i="4"/>
  <c r="F50" i="4"/>
  <c r="D50" i="4"/>
  <c r="E50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Q47" i="4"/>
  <c r="P47" i="4"/>
  <c r="O47" i="4"/>
  <c r="N47" i="4"/>
  <c r="M47" i="4"/>
  <c r="L47" i="4"/>
  <c r="K47" i="4"/>
  <c r="J47" i="4"/>
  <c r="I47" i="4"/>
  <c r="H47" i="4"/>
  <c r="E47" i="4"/>
  <c r="D47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P41" i="4"/>
  <c r="Q41" i="4"/>
  <c r="O41" i="4"/>
  <c r="N41" i="4"/>
  <c r="M41" i="4"/>
  <c r="L41" i="4"/>
  <c r="K41" i="4"/>
  <c r="J41" i="4"/>
  <c r="I41" i="4"/>
  <c r="H41" i="4"/>
  <c r="G41" i="4"/>
  <c r="F41" i="4"/>
  <c r="E41" i="4"/>
  <c r="D41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Q38" i="4"/>
  <c r="P38" i="4"/>
  <c r="O38" i="4"/>
  <c r="N38" i="4"/>
  <c r="M38" i="4"/>
  <c r="L38" i="4"/>
  <c r="K38" i="4"/>
  <c r="J38" i="4"/>
  <c r="I38" i="4"/>
  <c r="G38" i="4"/>
  <c r="F38" i="4"/>
  <c r="E38" i="4"/>
  <c r="D38" i="4"/>
  <c r="Q37" i="4"/>
  <c r="P37" i="4"/>
  <c r="O37" i="4"/>
  <c r="N37" i="4"/>
  <c r="L37" i="4"/>
  <c r="K37" i="4"/>
  <c r="J37" i="4"/>
  <c r="I37" i="4"/>
  <c r="H37" i="4"/>
  <c r="G37" i="4"/>
  <c r="F37" i="4"/>
  <c r="E37" i="4"/>
  <c r="D37" i="4"/>
  <c r="E36" i="4"/>
  <c r="Q36" i="4"/>
  <c r="P36" i="4"/>
  <c r="O36" i="4"/>
  <c r="N36" i="4"/>
  <c r="M36" i="4"/>
  <c r="L36" i="4"/>
  <c r="K36" i="4"/>
  <c r="J36" i="4"/>
  <c r="I36" i="4"/>
  <c r="G36" i="4"/>
  <c r="F36" i="4"/>
  <c r="D36" i="4"/>
  <c r="Q35" i="4"/>
  <c r="P35" i="4"/>
  <c r="O35" i="4"/>
  <c r="N35" i="4"/>
  <c r="M35" i="4"/>
  <c r="L35" i="4"/>
  <c r="K35" i="4"/>
  <c r="J35" i="4"/>
  <c r="H35" i="4"/>
  <c r="G35" i="4"/>
  <c r="F35" i="4"/>
  <c r="E35" i="4"/>
  <c r="D35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Q30" i="4"/>
  <c r="P30" i="4"/>
  <c r="L30" i="4"/>
  <c r="M30" i="4"/>
  <c r="N30" i="4"/>
  <c r="O30" i="4"/>
  <c r="K30" i="4"/>
  <c r="J30" i="4"/>
  <c r="I30" i="4"/>
  <c r="H30" i="4"/>
  <c r="G30" i="4"/>
  <c r="F30" i="4"/>
  <c r="E30" i="4"/>
  <c r="D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J26" i="4"/>
  <c r="K26" i="4"/>
  <c r="L26" i="4"/>
  <c r="M26" i="4"/>
  <c r="N26" i="4"/>
  <c r="Q26" i="4"/>
  <c r="P26" i="4"/>
  <c r="O26" i="4"/>
  <c r="I26" i="4"/>
  <c r="H26" i="4"/>
  <c r="G26" i="4"/>
  <c r="F26" i="4"/>
  <c r="E26" i="4"/>
  <c r="D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M24" i="4"/>
  <c r="N24" i="4"/>
  <c r="O24" i="4"/>
  <c r="P24" i="4"/>
  <c r="Q24" i="4"/>
  <c r="L24" i="4"/>
  <c r="K24" i="4"/>
  <c r="J24" i="4"/>
  <c r="I24" i="4"/>
  <c r="H24" i="4"/>
  <c r="G24" i="4"/>
  <c r="E24" i="4"/>
  <c r="F24" i="4"/>
  <c r="D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J21" i="4"/>
  <c r="K21" i="4"/>
  <c r="L21" i="4"/>
  <c r="M21" i="4"/>
  <c r="N21" i="4"/>
  <c r="O21" i="4"/>
  <c r="Q21" i="4"/>
  <c r="P21" i="4"/>
  <c r="I21" i="4"/>
  <c r="H21" i="4"/>
  <c r="G21" i="4"/>
  <c r="F21" i="4"/>
  <c r="E21" i="4"/>
  <c r="D21" i="4"/>
  <c r="Q20" i="4"/>
  <c r="O20" i="4"/>
  <c r="P20" i="4"/>
  <c r="N20" i="4"/>
  <c r="M20" i="4"/>
  <c r="L20" i="4"/>
  <c r="K20" i="4"/>
  <c r="J20" i="4"/>
  <c r="I20" i="4"/>
  <c r="H20" i="4"/>
  <c r="G20" i="4"/>
  <c r="F20" i="4"/>
  <c r="E20" i="4"/>
  <c r="D20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D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Q16" i="4"/>
  <c r="P16" i="4"/>
  <c r="M16" i="4"/>
  <c r="L16" i="4"/>
  <c r="O16" i="4"/>
  <c r="N16" i="4"/>
  <c r="K16" i="4"/>
  <c r="J16" i="4"/>
  <c r="I16" i="4"/>
  <c r="H16" i="4"/>
  <c r="G16" i="4"/>
  <c r="F16" i="4"/>
  <c r="E16" i="4"/>
  <c r="D16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D213" i="2"/>
  <c r="D264" i="2"/>
  <c r="D263" i="2"/>
  <c r="D109" i="2"/>
  <c r="D108" i="2"/>
  <c r="Q260" i="4"/>
  <c r="P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P259" i="4"/>
  <c r="Q259" i="4"/>
  <c r="O259" i="4"/>
  <c r="L259" i="4"/>
  <c r="M259" i="4"/>
  <c r="N259" i="4"/>
  <c r="K259" i="4"/>
  <c r="I259" i="4"/>
  <c r="J259" i="4"/>
  <c r="H259" i="4"/>
  <c r="G259" i="4"/>
  <c r="F259" i="4"/>
  <c r="E259" i="4"/>
  <c r="D259" i="4"/>
  <c r="Q178" i="4"/>
  <c r="P178" i="4"/>
  <c r="O178" i="4"/>
  <c r="M178" i="4"/>
  <c r="N178" i="4"/>
  <c r="L178" i="4"/>
  <c r="J178" i="4"/>
  <c r="K178" i="4"/>
  <c r="I178" i="4"/>
  <c r="H178" i="4"/>
  <c r="G178" i="4"/>
  <c r="F178" i="4"/>
  <c r="E178" i="4"/>
  <c r="D178" i="4"/>
  <c r="E366" i="2"/>
  <c r="E367" i="2" s="1"/>
  <c r="F366" i="2"/>
  <c r="F367" i="2" s="1"/>
  <c r="G366" i="2"/>
  <c r="G367" i="2" s="1"/>
  <c r="H366" i="2"/>
  <c r="H367" i="2" s="1"/>
  <c r="I366" i="2"/>
  <c r="I367" i="2" s="1"/>
  <c r="J366" i="2"/>
  <c r="J367" i="2" s="1"/>
  <c r="K366" i="2"/>
  <c r="K367" i="2" s="1"/>
  <c r="L366" i="2"/>
  <c r="L367" i="2" s="1"/>
  <c r="M366" i="2"/>
  <c r="M367" i="2" s="1"/>
  <c r="N366" i="2"/>
  <c r="N367" i="2" s="1"/>
  <c r="O366" i="2"/>
  <c r="O367" i="2" s="1"/>
  <c r="P366" i="2"/>
  <c r="P367" i="2" s="1"/>
  <c r="Q366" i="2"/>
  <c r="Q367" i="2" s="1"/>
  <c r="D366" i="2"/>
  <c r="D367" i="2" s="1"/>
  <c r="H260" i="2"/>
  <c r="H265" i="2" s="1"/>
  <c r="I260" i="2"/>
  <c r="I265" i="2" s="1"/>
  <c r="K260" i="2"/>
  <c r="K265" i="2" s="1"/>
  <c r="L260" i="2"/>
  <c r="L265" i="2" s="1"/>
  <c r="O260" i="2"/>
  <c r="O265" i="2" s="1"/>
  <c r="P260" i="2"/>
  <c r="P265" i="2" s="1"/>
  <c r="Q260" i="2"/>
  <c r="Q265" i="2" s="1"/>
  <c r="D260" i="2"/>
  <c r="Q357" i="2"/>
  <c r="Q358" i="2" s="1"/>
  <c r="P357" i="2"/>
  <c r="P358" i="2" s="1"/>
  <c r="O357" i="2"/>
  <c r="O358" i="2" s="1"/>
  <c r="N357" i="2"/>
  <c r="N358" i="2" s="1"/>
  <c r="M357" i="2"/>
  <c r="M358" i="2" s="1"/>
  <c r="L357" i="2"/>
  <c r="L358" i="2" s="1"/>
  <c r="K357" i="2"/>
  <c r="K358" i="2" s="1"/>
  <c r="J357" i="2"/>
  <c r="J358" i="2" s="1"/>
  <c r="I357" i="2"/>
  <c r="I358" i="2" s="1"/>
  <c r="H357" i="2"/>
  <c r="H358" i="2" s="1"/>
  <c r="G357" i="2"/>
  <c r="G358" i="2" s="1"/>
  <c r="F357" i="2"/>
  <c r="F358" i="2" s="1"/>
  <c r="E357" i="2"/>
  <c r="E358" i="2" s="1"/>
  <c r="D357" i="2"/>
  <c r="D358" i="2" s="1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Q251" i="4"/>
  <c r="P251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N215" i="4"/>
  <c r="O215" i="4"/>
  <c r="P215" i="4"/>
  <c r="Q215" i="4"/>
  <c r="M215" i="4"/>
  <c r="H215" i="4"/>
  <c r="I215" i="4"/>
  <c r="J215" i="4"/>
  <c r="K215" i="4"/>
  <c r="L215" i="4"/>
  <c r="G215" i="4"/>
  <c r="F215" i="4"/>
  <c r="E215" i="4"/>
  <c r="D215" i="4"/>
  <c r="D214" i="4"/>
  <c r="D213" i="4"/>
  <c r="D212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E211" i="4"/>
  <c r="D211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D210" i="4"/>
  <c r="O207" i="4"/>
  <c r="Q207" i="4"/>
  <c r="P207" i="4"/>
  <c r="M207" i="4"/>
  <c r="N207" i="4"/>
  <c r="O206" i="4"/>
  <c r="P206" i="4"/>
  <c r="Q206" i="4"/>
  <c r="N206" i="4"/>
  <c r="M206" i="4"/>
  <c r="N204" i="4"/>
  <c r="O204" i="4"/>
  <c r="P204" i="4"/>
  <c r="M204" i="4"/>
  <c r="Q204" i="4"/>
  <c r="Q203" i="4"/>
  <c r="P203" i="4"/>
  <c r="O203" i="4"/>
  <c r="N203" i="4"/>
  <c r="M203" i="4"/>
  <c r="N201" i="4"/>
  <c r="O201" i="4"/>
  <c r="P201" i="4"/>
  <c r="Q201" i="4"/>
  <c r="M201" i="4"/>
  <c r="J201" i="4"/>
  <c r="K201" i="4"/>
  <c r="L201" i="4"/>
  <c r="I201" i="4"/>
  <c r="H201" i="4"/>
  <c r="G201" i="4"/>
  <c r="F201" i="4"/>
  <c r="E201" i="4"/>
  <c r="D201" i="4"/>
  <c r="P200" i="4"/>
  <c r="Q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L199" i="4"/>
  <c r="M199" i="4"/>
  <c r="N199" i="4"/>
  <c r="O199" i="4"/>
  <c r="Q199" i="4"/>
  <c r="P199" i="4"/>
  <c r="K199" i="4"/>
  <c r="J199" i="4"/>
  <c r="I199" i="4"/>
  <c r="H199" i="4"/>
  <c r="F199" i="4"/>
  <c r="G199" i="4"/>
  <c r="E199" i="4"/>
  <c r="D199" i="4"/>
  <c r="O198" i="4"/>
  <c r="P198" i="4"/>
  <c r="Q198" i="4"/>
  <c r="N198" i="4"/>
  <c r="M198" i="4"/>
  <c r="L198" i="4"/>
  <c r="K198" i="4"/>
  <c r="J198" i="4"/>
  <c r="I198" i="4"/>
  <c r="H198" i="4"/>
  <c r="G198" i="4"/>
  <c r="F198" i="4"/>
  <c r="E198" i="4"/>
  <c r="D198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M195" i="4"/>
  <c r="N195" i="4"/>
  <c r="O195" i="4"/>
  <c r="P195" i="4"/>
  <c r="Q195" i="4"/>
  <c r="L195" i="4"/>
  <c r="K195" i="4"/>
  <c r="J195" i="4"/>
  <c r="H195" i="4"/>
  <c r="I195" i="4"/>
  <c r="G195" i="4"/>
  <c r="F195" i="4"/>
  <c r="E195" i="4"/>
  <c r="D195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D84" i="4"/>
  <c r="D83" i="4"/>
  <c r="P82" i="4"/>
  <c r="Q82" i="4"/>
  <c r="O82" i="4"/>
  <c r="N82" i="4"/>
  <c r="M82" i="4"/>
  <c r="L82" i="4"/>
  <c r="K82" i="4"/>
  <c r="J82" i="4"/>
  <c r="I82" i="4"/>
  <c r="H82" i="4"/>
  <c r="G82" i="4"/>
  <c r="F82" i="4"/>
  <c r="E82" i="4"/>
  <c r="D82" i="4"/>
  <c r="Q81" i="4"/>
  <c r="P81" i="4"/>
  <c r="O81" i="4"/>
  <c r="N81" i="4"/>
  <c r="M81" i="4"/>
  <c r="L81" i="4"/>
  <c r="K81" i="4"/>
  <c r="J81" i="4"/>
  <c r="I81" i="4"/>
  <c r="H81" i="4"/>
  <c r="E81" i="4"/>
  <c r="F81" i="4"/>
  <c r="G81" i="4"/>
  <c r="D81" i="4"/>
  <c r="M77" i="4"/>
  <c r="N77" i="4"/>
  <c r="O77" i="4"/>
  <c r="P77" i="4"/>
  <c r="K77" i="4"/>
  <c r="J77" i="4"/>
  <c r="I77" i="4"/>
  <c r="H77" i="4"/>
  <c r="E77" i="4"/>
  <c r="F77" i="4"/>
  <c r="D77" i="4"/>
  <c r="P75" i="4"/>
  <c r="O75" i="4"/>
  <c r="M75" i="4"/>
  <c r="K75" i="4"/>
  <c r="J75" i="4"/>
  <c r="H75" i="4"/>
  <c r="E75" i="4"/>
  <c r="D75" i="4"/>
  <c r="P335" i="2"/>
  <c r="H335" i="2"/>
  <c r="I335" i="2"/>
  <c r="J335" i="2"/>
  <c r="K335" i="2"/>
  <c r="L335" i="2"/>
  <c r="M335" i="2"/>
  <c r="N335" i="2"/>
  <c r="O335" i="2"/>
  <c r="Q335" i="2"/>
  <c r="G335" i="2"/>
  <c r="F335" i="2"/>
  <c r="E335" i="2"/>
  <c r="D335" i="2"/>
  <c r="D334" i="2"/>
  <c r="Q332" i="2"/>
  <c r="P332" i="2"/>
  <c r="O332" i="2"/>
  <c r="N332" i="2"/>
  <c r="M332" i="2"/>
  <c r="K332" i="2"/>
  <c r="L332" i="2"/>
  <c r="J332" i="2"/>
  <c r="I332" i="2"/>
  <c r="G332" i="2"/>
  <c r="H332" i="2"/>
  <c r="F332" i="2"/>
  <c r="E332" i="2"/>
  <c r="D332" i="2"/>
  <c r="D220" i="2"/>
  <c r="D217" i="2"/>
  <c r="D216" i="2"/>
  <c r="D196" i="2"/>
  <c r="D195" i="2"/>
  <c r="D194" i="2"/>
  <c r="D192" i="2"/>
  <c r="Q14" i="2"/>
  <c r="P14" i="2"/>
  <c r="O14" i="2"/>
  <c r="N14" i="2"/>
  <c r="M14" i="2"/>
  <c r="L14" i="2"/>
  <c r="J14" i="2"/>
  <c r="K14" i="2"/>
  <c r="I14" i="2"/>
  <c r="H14" i="2"/>
  <c r="G14" i="2"/>
  <c r="F14" i="2"/>
  <c r="E14" i="2"/>
  <c r="D14" i="2"/>
  <c r="D13" i="2"/>
  <c r="K12" i="2"/>
  <c r="L12" i="2"/>
  <c r="M12" i="2"/>
  <c r="N12" i="2"/>
  <c r="O12" i="2"/>
  <c r="P12" i="2"/>
  <c r="Q12" i="2"/>
  <c r="J12" i="2"/>
  <c r="I12" i="2"/>
  <c r="H12" i="2"/>
  <c r="G12" i="2"/>
  <c r="F12" i="2"/>
  <c r="E12" i="2"/>
  <c r="D12" i="2"/>
  <c r="Q10" i="2"/>
  <c r="P10" i="2"/>
  <c r="O10" i="2"/>
  <c r="N10" i="2"/>
  <c r="M10" i="2"/>
  <c r="L10" i="2"/>
  <c r="K10" i="2"/>
  <c r="K26" i="2" s="1"/>
  <c r="J10" i="2"/>
  <c r="I10" i="2"/>
  <c r="H10" i="2"/>
  <c r="G10" i="2"/>
  <c r="F10" i="2"/>
  <c r="E10" i="2"/>
  <c r="D10" i="2"/>
  <c r="N172" i="4"/>
  <c r="O172" i="4"/>
  <c r="P172" i="4"/>
  <c r="Q172" i="4"/>
  <c r="M172" i="4"/>
  <c r="L172" i="4"/>
  <c r="K172" i="4"/>
  <c r="J172" i="4"/>
  <c r="I172" i="4"/>
  <c r="H172" i="4"/>
  <c r="G172" i="4"/>
  <c r="F172" i="4"/>
  <c r="E172" i="4"/>
  <c r="D172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Q246" i="2"/>
  <c r="P246" i="2"/>
  <c r="O246" i="2"/>
  <c r="N246" i="2"/>
  <c r="M246" i="2"/>
  <c r="M253" i="2" s="1"/>
  <c r="L246" i="2"/>
  <c r="K246" i="2"/>
  <c r="J246" i="2"/>
  <c r="I246" i="2"/>
  <c r="I253" i="2" s="1"/>
  <c r="H246" i="2"/>
  <c r="G246" i="2"/>
  <c r="F246" i="2"/>
  <c r="E246" i="2"/>
  <c r="E253" i="2" s="1"/>
  <c r="D246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Q89" i="2"/>
  <c r="P89" i="2"/>
  <c r="O89" i="2"/>
  <c r="N89" i="2"/>
  <c r="M89" i="2"/>
  <c r="K89" i="2"/>
  <c r="L89" i="2"/>
  <c r="J89" i="2"/>
  <c r="I89" i="2"/>
  <c r="H89" i="2"/>
  <c r="G89" i="2"/>
  <c r="F89" i="2"/>
  <c r="E89" i="2"/>
  <c r="D89" i="2"/>
  <c r="I188" i="4"/>
  <c r="J188" i="4"/>
  <c r="K188" i="4"/>
  <c r="L188" i="4"/>
  <c r="M188" i="4"/>
  <c r="N188" i="4"/>
  <c r="O188" i="4"/>
  <c r="P188" i="4"/>
  <c r="Q188" i="4"/>
  <c r="H188" i="4"/>
  <c r="G188" i="4"/>
  <c r="F188" i="4"/>
  <c r="E188" i="4"/>
  <c r="D188" i="4"/>
  <c r="G184" i="4"/>
  <c r="H184" i="4"/>
  <c r="I184" i="4"/>
  <c r="J184" i="4"/>
  <c r="K184" i="4"/>
  <c r="L184" i="4"/>
  <c r="M184" i="4"/>
  <c r="N184" i="4"/>
  <c r="O184" i="4"/>
  <c r="P184" i="4"/>
  <c r="Q184" i="4"/>
  <c r="F184" i="4"/>
  <c r="E184" i="4"/>
  <c r="D18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J155" i="4"/>
  <c r="K155" i="4"/>
  <c r="L155" i="4"/>
  <c r="M155" i="4"/>
  <c r="N155" i="4"/>
  <c r="O155" i="4"/>
  <c r="P155" i="4"/>
  <c r="Q155" i="4"/>
  <c r="I155" i="4"/>
  <c r="H155" i="4"/>
  <c r="G155" i="4"/>
  <c r="F155" i="4"/>
  <c r="E155" i="4"/>
  <c r="D155" i="4"/>
  <c r="D154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D152" i="4"/>
  <c r="D151" i="4"/>
  <c r="D150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D147" i="4"/>
  <c r="D148" i="4"/>
  <c r="D149" i="4"/>
  <c r="H139" i="4"/>
  <c r="I139" i="4"/>
  <c r="J139" i="4"/>
  <c r="K139" i="4"/>
  <c r="L139" i="4"/>
  <c r="M139" i="4"/>
  <c r="N139" i="4"/>
  <c r="O139" i="4"/>
  <c r="P139" i="4"/>
  <c r="Q139" i="4"/>
  <c r="H140" i="4"/>
  <c r="I140" i="4"/>
  <c r="J140" i="4"/>
  <c r="K140" i="4"/>
  <c r="L140" i="4"/>
  <c r="M140" i="4"/>
  <c r="N140" i="4"/>
  <c r="O140" i="4"/>
  <c r="P140" i="4"/>
  <c r="Q140" i="4"/>
  <c r="H141" i="4"/>
  <c r="I141" i="4"/>
  <c r="J141" i="4"/>
  <c r="K141" i="4"/>
  <c r="L141" i="4"/>
  <c r="M141" i="4"/>
  <c r="N141" i="4"/>
  <c r="O141" i="4"/>
  <c r="P141" i="4"/>
  <c r="Q141" i="4"/>
  <c r="H142" i="4"/>
  <c r="I142" i="4"/>
  <c r="J142" i="4"/>
  <c r="K142" i="4"/>
  <c r="L142" i="4"/>
  <c r="M142" i="4"/>
  <c r="N142" i="4"/>
  <c r="O142" i="4"/>
  <c r="P142" i="4"/>
  <c r="Q142" i="4"/>
  <c r="G142" i="4"/>
  <c r="G141" i="4"/>
  <c r="G140" i="4"/>
  <c r="G139" i="4"/>
  <c r="F142" i="4"/>
  <c r="F140" i="4"/>
  <c r="F141" i="4"/>
  <c r="F139" i="4"/>
  <c r="D140" i="4"/>
  <c r="D141" i="4"/>
  <c r="D142" i="4"/>
  <c r="D139" i="4"/>
  <c r="E140" i="4"/>
  <c r="E141" i="4"/>
  <c r="E142" i="4"/>
  <c r="E139" i="4"/>
  <c r="J138" i="4"/>
  <c r="K138" i="4"/>
  <c r="L138" i="4"/>
  <c r="M138" i="4"/>
  <c r="N138" i="4"/>
  <c r="O138" i="4"/>
  <c r="P138" i="4"/>
  <c r="Q138" i="4"/>
  <c r="I138" i="4"/>
  <c r="H138" i="4"/>
  <c r="G138" i="4"/>
  <c r="F138" i="4"/>
  <c r="E138" i="4"/>
  <c r="D138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O185" i="4"/>
  <c r="P185" i="4"/>
  <c r="Q185" i="4"/>
  <c r="N185" i="4"/>
  <c r="M185" i="4"/>
  <c r="L185" i="4"/>
  <c r="K185" i="4"/>
  <c r="J185" i="4"/>
  <c r="I185" i="4"/>
  <c r="H185" i="4"/>
  <c r="G185" i="4"/>
  <c r="F185" i="4"/>
  <c r="E185" i="4"/>
  <c r="D185" i="4"/>
  <c r="E239" i="2"/>
  <c r="E243" i="2" s="1"/>
  <c r="F239" i="2"/>
  <c r="F243" i="2" s="1"/>
  <c r="G239" i="2"/>
  <c r="G243" i="2" s="1"/>
  <c r="H239" i="2"/>
  <c r="H243" i="2" s="1"/>
  <c r="I239" i="2"/>
  <c r="I243" i="2" s="1"/>
  <c r="J239" i="2"/>
  <c r="J243" i="2" s="1"/>
  <c r="K239" i="2"/>
  <c r="K243" i="2" s="1"/>
  <c r="L239" i="2"/>
  <c r="L243" i="2" s="1"/>
  <c r="M239" i="2"/>
  <c r="M243" i="2" s="1"/>
  <c r="N239" i="2"/>
  <c r="N243" i="2" s="1"/>
  <c r="O239" i="2"/>
  <c r="O243" i="2" s="1"/>
  <c r="P239" i="2"/>
  <c r="P243" i="2" s="1"/>
  <c r="Q239" i="2"/>
  <c r="Q243" i="2" s="1"/>
  <c r="D239" i="2"/>
  <c r="F76" i="2"/>
  <c r="F81" i="2" s="1"/>
  <c r="G76" i="2"/>
  <c r="G81" i="2" s="1"/>
  <c r="H76" i="2"/>
  <c r="H81" i="2" s="1"/>
  <c r="I76" i="2"/>
  <c r="I81" i="2" s="1"/>
  <c r="J76" i="2"/>
  <c r="J81" i="2" s="1"/>
  <c r="K76" i="2"/>
  <c r="K81" i="2" s="1"/>
  <c r="L76" i="2"/>
  <c r="L81" i="2" s="1"/>
  <c r="M76" i="2"/>
  <c r="M81" i="2" s="1"/>
  <c r="N76" i="2"/>
  <c r="N81" i="2" s="1"/>
  <c r="O76" i="2"/>
  <c r="O81" i="2" s="1"/>
  <c r="P76" i="2"/>
  <c r="P81" i="2" s="1"/>
  <c r="Q76" i="2"/>
  <c r="Q81" i="2" s="1"/>
  <c r="E76" i="2"/>
  <c r="E81" i="2" s="1"/>
  <c r="Q253" i="2" l="1"/>
  <c r="F253" i="2"/>
  <c r="J253" i="2"/>
  <c r="N253" i="2"/>
  <c r="F354" i="2"/>
  <c r="F401" i="2" s="1"/>
  <c r="J354" i="2"/>
  <c r="N354" i="2"/>
  <c r="N401" i="2" s="1"/>
  <c r="G253" i="2"/>
  <c r="K253" i="2"/>
  <c r="O253" i="2"/>
  <c r="D208" i="2"/>
  <c r="D265" i="2"/>
  <c r="J401" i="2"/>
  <c r="D243" i="2"/>
  <c r="G354" i="2"/>
  <c r="G401" i="2" s="1"/>
  <c r="K354" i="2"/>
  <c r="K401" i="2" s="1"/>
  <c r="O354" i="2"/>
  <c r="O401" i="2" s="1"/>
  <c r="D253" i="2"/>
  <c r="H253" i="2"/>
  <c r="L253" i="2"/>
  <c r="P253" i="2"/>
  <c r="D354" i="2"/>
  <c r="D401" i="2" s="1"/>
  <c r="H354" i="2"/>
  <c r="H401" i="2" s="1"/>
  <c r="L354" i="2"/>
  <c r="L401" i="2" s="1"/>
  <c r="P354" i="2"/>
  <c r="P401" i="2" s="1"/>
  <c r="E354" i="2"/>
  <c r="E401" i="2" s="1"/>
  <c r="I354" i="2"/>
  <c r="I401" i="2" s="1"/>
  <c r="M354" i="2"/>
  <c r="M401" i="2" s="1"/>
  <c r="Q354" i="2"/>
  <c r="Q401" i="2" s="1"/>
  <c r="D110" i="2"/>
  <c r="D26" i="2"/>
  <c r="H26" i="2"/>
  <c r="L26" i="2"/>
  <c r="P26" i="2"/>
  <c r="E26" i="2"/>
  <c r="I26" i="2"/>
  <c r="M26" i="2"/>
  <c r="Q26" i="2"/>
  <c r="F26" i="2"/>
  <c r="J26" i="2"/>
  <c r="N26" i="2"/>
  <c r="G26" i="2"/>
  <c r="O26" i="2"/>
  <c r="Q244" i="4"/>
  <c r="P244" i="4"/>
  <c r="O244" i="4"/>
  <c r="M244" i="4"/>
  <c r="N244" i="4"/>
  <c r="L244" i="4"/>
  <c r="K244" i="4"/>
  <c r="I244" i="4"/>
  <c r="J244" i="4"/>
  <c r="H244" i="4"/>
  <c r="F244" i="4"/>
  <c r="G244" i="4"/>
  <c r="E244" i="4"/>
  <c r="D244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O241" i="4"/>
  <c r="P241" i="4"/>
  <c r="Q241" i="4"/>
  <c r="N241" i="4"/>
  <c r="M241" i="4"/>
  <c r="L241" i="4"/>
  <c r="J241" i="4"/>
  <c r="K241" i="4"/>
  <c r="I241" i="4"/>
  <c r="F241" i="4"/>
  <c r="G241" i="4"/>
  <c r="H241" i="4"/>
  <c r="E241" i="4"/>
  <c r="D241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P239" i="4"/>
  <c r="Q239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Q238" i="4"/>
  <c r="P238" i="4"/>
  <c r="N238" i="4"/>
  <c r="O238" i="4"/>
  <c r="M238" i="4"/>
  <c r="L238" i="4"/>
  <c r="K238" i="4"/>
  <c r="J238" i="4"/>
  <c r="H238" i="4"/>
  <c r="I238" i="4"/>
  <c r="G238" i="4"/>
  <c r="F238" i="4"/>
  <c r="E238" i="4"/>
  <c r="D238" i="4"/>
  <c r="C38" i="2" l="1"/>
  <c r="C39" i="2"/>
  <c r="C76" i="2" l="1"/>
  <c r="C75" i="2"/>
  <c r="C74" i="2"/>
  <c r="C73" i="2"/>
  <c r="C71" i="2"/>
  <c r="C69" i="2"/>
  <c r="C68" i="2"/>
  <c r="C66" i="2"/>
  <c r="C65" i="2"/>
  <c r="C63" i="2"/>
  <c r="C41" i="2"/>
  <c r="C40" i="2"/>
</calcChain>
</file>

<file path=xl/sharedStrings.xml><?xml version="1.0" encoding="utf-8"?>
<sst xmlns="http://schemas.openxmlformats.org/spreadsheetml/2006/main" count="1743" uniqueCount="1207">
  <si>
    <t xml:space="preserve">Квалификация </t>
  </si>
  <si>
    <t>бакалавр</t>
  </si>
  <si>
    <t>ветеринарный врач</t>
  </si>
  <si>
    <t>40.00.00</t>
  </si>
  <si>
    <t>38.00.00</t>
  </si>
  <si>
    <t>Шифр профессии, (должности) по Перечню</t>
  </si>
  <si>
    <t>09.00.00</t>
  </si>
  <si>
    <t>ИНФОРМАТИКА И ВЫЧИСЛИТЕЛЬНАЯ ТЕХНИКА</t>
  </si>
  <si>
    <t>ОБРАЗОВАНИЕ И ПЕДАГОГИЧЕСКИЕ НАУКИ</t>
  </si>
  <si>
    <t>44.00.00</t>
  </si>
  <si>
    <t>ИНЖЕНЕРНОЕ ДЕЛО, ТЕХНОЛОГИИ И ТЕХНИЧЕСКИЕ НАУКИ</t>
  </si>
  <si>
    <t>53.00.00</t>
  </si>
  <si>
    <t>МУЗЫКАЛЬНОЕ ИСКУССТВО</t>
  </si>
  <si>
    <t>54.00.00</t>
  </si>
  <si>
    <t>ИЗОБРАЗИТЕЛЬНОЕ И ПРИКЛАДНЫЕ ВИДЫ ИСКУССТВ</t>
  </si>
  <si>
    <t xml:space="preserve">СЕЛЬСКОЕ ХОЗЯЙСТВО И СЕЛЬСКОХОЗЯЙСТВЕННЫЕ НАУКИ </t>
  </si>
  <si>
    <t>35.00.00</t>
  </si>
  <si>
    <t>СЕЛЬСКОЕ, ЛЕСНОЕ И РЫБНОЕ ХОЗЯЙСТВО</t>
  </si>
  <si>
    <t>36.00.00</t>
  </si>
  <si>
    <t>ВЕТЕРИНАРИЯ И ЗООТЕХНИЯ</t>
  </si>
  <si>
    <t>21.00.00</t>
  </si>
  <si>
    <t>ПРИКЛАДНАЯ ГЕОЛОГИЯ, ГОРНОЕ ДЕЛО, НЕФТЕГАЗОВОЕ ДЕЛО И ГЕОДЕЗИЯ</t>
  </si>
  <si>
    <t>ЮРИСПРУДЕНЦИЯ</t>
  </si>
  <si>
    <t>ЭКОНОМИКА И УПРАВЛЕНИЕ</t>
  </si>
  <si>
    <t>Экономика</t>
  </si>
  <si>
    <t>СЕРВИС И ТУРИЗМ</t>
  </si>
  <si>
    <t>Туризм</t>
  </si>
  <si>
    <t>Гостиничное дело</t>
  </si>
  <si>
    <t>08.00.00</t>
  </si>
  <si>
    <t>ТЕХНИКА И ТЕХНОЛОГИИ СТРОИТЕЛЬСТВА</t>
  </si>
  <si>
    <t>11.00.00</t>
  </si>
  <si>
    <t>ЭЛЕКТРОНИКА, РАДИОТЕХНИКА И СИСТЕМЫ СВЯЗИ</t>
  </si>
  <si>
    <t>13.00.00</t>
  </si>
  <si>
    <t>ЭЛЕКТРО- И ТЕПЛОЭНЕРГЕТИКА</t>
  </si>
  <si>
    <t>23.00.00</t>
  </si>
  <si>
    <t>ТЕХНИКА И ТЕХНОЛОГИИ НАЗЕМНОГО ТРАНСПОРТА</t>
  </si>
  <si>
    <t>СЕЛЬСКОЕ ХОЗЯЙСТВО И СЕЛЬСКОХОЗЯЙСТВЕННЫЕ НАУКИ</t>
  </si>
  <si>
    <t>43.00.00</t>
  </si>
  <si>
    <t>ИСКУССТВО И КУЛЬТУРА</t>
  </si>
  <si>
    <t>51.00.00</t>
  </si>
  <si>
    <t>КУЛЬТУРОВЕДЕНИЕ И СОЦИОКУЛЬТУРНЫЕ ПРОЕКТЫ</t>
  </si>
  <si>
    <t>Агрономия</t>
  </si>
  <si>
    <t>Строительство</t>
  </si>
  <si>
    <t>20.00.00</t>
  </si>
  <si>
    <t>ТЕХНОСФЕРНАЯ БЕЗОПАСНОСТЬ И ПРИРОДООБУСТРОЙСТВО</t>
  </si>
  <si>
    <t>38.03.01</t>
  </si>
  <si>
    <t>38.03.03</t>
  </si>
  <si>
    <t>Управление персоналом</t>
  </si>
  <si>
    <t xml:space="preserve">ПОДГОТОВКА СПЕЦИАЛИСТОВ С ВЫСШИМ ОБРАЗОВАНИЕМ - БАКАЛАВРИАТ </t>
  </si>
  <si>
    <t>08.04.01</t>
  </si>
  <si>
    <t>43.03.02</t>
  </si>
  <si>
    <t>43.03.03</t>
  </si>
  <si>
    <t>10.00.00</t>
  </si>
  <si>
    <t>ИНФОРМАЦИОННАЯ БЕЗОПАСНОСТЬ</t>
  </si>
  <si>
    <t>Информационная безопасность</t>
  </si>
  <si>
    <t>ЗДРАВООХРАНЕНИЕ И МЕДИЦИНСКИЕ НАУКИ</t>
  </si>
  <si>
    <t>31.00.00</t>
  </si>
  <si>
    <t>КЛИНИЧЕСКАЯ МЕДИЦИНА</t>
  </si>
  <si>
    <t>Анестезиология-реаниматология</t>
  </si>
  <si>
    <t>Инфекционные болезни</t>
  </si>
  <si>
    <t>Кардиология</t>
  </si>
  <si>
    <t>Неврология</t>
  </si>
  <si>
    <t>Онкология</t>
  </si>
  <si>
    <t>Оториноларингология</t>
  </si>
  <si>
    <t>Педиатрия</t>
  </si>
  <si>
    <t>Рентгенология</t>
  </si>
  <si>
    <t>Клиническая лабораторная диагностика</t>
  </si>
  <si>
    <t>Неонатология</t>
  </si>
  <si>
    <t>Травматология и ортопедия</t>
  </si>
  <si>
    <t>Фтизиатрия</t>
  </si>
  <si>
    <t>Хирургия</t>
  </si>
  <si>
    <t>Эндоскопия</t>
  </si>
  <si>
    <t>Ультразвуковая диагностика</t>
  </si>
  <si>
    <t>Трансфузиология</t>
  </si>
  <si>
    <t>врач-анестезиолог-реаниматолог</t>
  </si>
  <si>
    <t>врач-инфекционист</t>
  </si>
  <si>
    <t>врач-кардиолог</t>
  </si>
  <si>
    <t>врач клинической лабораторной диагностики</t>
  </si>
  <si>
    <t>врач-невролог</t>
  </si>
  <si>
    <t>врач-неонатолог</t>
  </si>
  <si>
    <t>врач-онколог</t>
  </si>
  <si>
    <t>врач-оториноларинголог</t>
  </si>
  <si>
    <t>врач-педиатр</t>
  </si>
  <si>
    <t>врач-рентгенолог</t>
  </si>
  <si>
    <t>Терапия</t>
  </si>
  <si>
    <t>врач-терапевт</t>
  </si>
  <si>
    <t>врач-травматолог-ортопед</t>
  </si>
  <si>
    <t>врач-трансфузиолог</t>
  </si>
  <si>
    <t>врач-фтизиатр</t>
  </si>
  <si>
    <t>врач-хирург</t>
  </si>
  <si>
    <t>врач-эндоскопист</t>
  </si>
  <si>
    <t>Общая врачебная практика (семейная медицина)</t>
  </si>
  <si>
    <t>Функциональная диагностика</t>
  </si>
  <si>
    <t>врач-функциональной диагност</t>
  </si>
  <si>
    <t>ПОДГОТОВКА СПЕЦИАЛИСТОВ С ВЫСШИМ ОБРАЗОВАНИЕМ -  СПЕЦИАЛИТЕТ</t>
  </si>
  <si>
    <t xml:space="preserve">52.00.00 </t>
  </si>
  <si>
    <t>52.03.01</t>
  </si>
  <si>
    <t>Хореографическое искусство</t>
  </si>
  <si>
    <t>Вокальное искусство</t>
  </si>
  <si>
    <t>53.03.05</t>
  </si>
  <si>
    <t>52.05.02</t>
  </si>
  <si>
    <t>Режиссура театра</t>
  </si>
  <si>
    <t>Актерское искусство</t>
  </si>
  <si>
    <t>53.03.02</t>
  </si>
  <si>
    <t>КУЛЬТУРОВЕДЕНИЕ И СОЦИАЛЬНОКУЛЬТУРНЫЕ ПРОЕКТЫ</t>
  </si>
  <si>
    <t>Программная инженерия</t>
  </si>
  <si>
    <t xml:space="preserve">ЭЛЕКТРО- И ТЕПЛОЭНЕРГЕТИКА </t>
  </si>
  <si>
    <t>18.00.00</t>
  </si>
  <si>
    <t>ХИМИЧЕСКИЕ ТЕХНОЛОГИИ</t>
  </si>
  <si>
    <t>УПРАВЛЕНИЕ В ТЕХНИЧЕСКИХ СИСТЕМАХ</t>
  </si>
  <si>
    <t>Системный анализ и управление</t>
  </si>
  <si>
    <t>Управление в технических системах</t>
  </si>
  <si>
    <t>36.05.01</t>
  </si>
  <si>
    <t>Ветенария</t>
  </si>
  <si>
    <t>27.03 04</t>
  </si>
  <si>
    <t>27.00.00</t>
  </si>
  <si>
    <t>СЦЕНИЧЕСКИЕ ИСКУССТВА И ЛИТЕРАТУРНОЕ ТВОРЧЕСТВО</t>
  </si>
  <si>
    <t>ПОДГОТОВКА СПЕЦИАЛИСТОВ С ВЫСШИМ ОБРАЗОВАНИЕМ-МАГИСТРАТУРА</t>
  </si>
  <si>
    <t>врач-ультразвуковой диагност</t>
  </si>
  <si>
    <t>31.08.48</t>
  </si>
  <si>
    <t>Скорая медицинская помощь</t>
  </si>
  <si>
    <t>09.03.02</t>
  </si>
  <si>
    <t>10.03.01</t>
  </si>
  <si>
    <t>Информационные системы и технологии</t>
  </si>
  <si>
    <t>Электроэнергетика и электротехника</t>
  </si>
  <si>
    <t>Хореографическое исполнительство</t>
  </si>
  <si>
    <t>Геодезия и дистанционное зондирование</t>
  </si>
  <si>
    <t>Искусство народного пения</t>
  </si>
  <si>
    <t>Дирижирование</t>
  </si>
  <si>
    <t xml:space="preserve">ПОДГОТОВКА СПЕЦИАЛИСТОВ С ВЫСШИМ ОБРАЗОВАНИЕМ ПО ПРОГРАММАМ ОРДИНАТУРЫ
</t>
  </si>
  <si>
    <t>31.08.02</t>
  </si>
  <si>
    <t>31.08.04</t>
  </si>
  <si>
    <t>31.08.05</t>
  </si>
  <si>
    <t>31.08.09</t>
  </si>
  <si>
    <t>31.08.11</t>
  </si>
  <si>
    <t>31.08.12</t>
  </si>
  <si>
    <t>31.08.18</t>
  </si>
  <si>
    <t>31.08.19</t>
  </si>
  <si>
    <t>31.08.35</t>
  </si>
  <si>
    <t>31.08.36</t>
  </si>
  <si>
    <t>31.08.42</t>
  </si>
  <si>
    <t>31.08.49</t>
  </si>
  <si>
    <t>31.08.51</t>
  </si>
  <si>
    <t>31.08.54</t>
  </si>
  <si>
    <t>31.08.58</t>
  </si>
  <si>
    <t>31.08.66</t>
  </si>
  <si>
    <t>31.08.67</t>
  </si>
  <si>
    <t>31.08.70</t>
  </si>
  <si>
    <t>15.00.00</t>
  </si>
  <si>
    <t>МАШИНОСТРОЕНИЕ</t>
  </si>
  <si>
    <t>Прикладная геодезия</t>
  </si>
  <si>
    <t>Музыкальная звукорежиссура</t>
  </si>
  <si>
    <t>53.05.03</t>
  </si>
  <si>
    <t>52.03.02</t>
  </si>
  <si>
    <t>Музыкально-инструментальное искусство</t>
  </si>
  <si>
    <t>Звукорежиссура культурно-массовых представлений и концертных программ</t>
  </si>
  <si>
    <t xml:space="preserve">51.00.00 </t>
  </si>
  <si>
    <t>51.05.01</t>
  </si>
  <si>
    <t>08.03.01</t>
  </si>
  <si>
    <t>27.03.01</t>
  </si>
  <si>
    <t>27.03.02</t>
  </si>
  <si>
    <t>27.03.03</t>
  </si>
  <si>
    <t>Стандартизация и метрология</t>
  </si>
  <si>
    <t>Управление качеством</t>
  </si>
  <si>
    <t>21.03.03</t>
  </si>
  <si>
    <t>38.03.02</t>
  </si>
  <si>
    <t>Менеджмент</t>
  </si>
  <si>
    <t>врач общей врачебной практики (семейная медицина)</t>
  </si>
  <si>
    <t>51.03.06</t>
  </si>
  <si>
    <t>Библиотечно-информационная деятельность</t>
  </si>
  <si>
    <t>53.03.03</t>
  </si>
  <si>
    <t>52.05.01</t>
  </si>
  <si>
    <t>52.05.03</t>
  </si>
  <si>
    <t>Сценография</t>
  </si>
  <si>
    <t>53.05.04</t>
  </si>
  <si>
    <t>Музыкально-театральное искусство</t>
  </si>
  <si>
    <t>31.08.20</t>
  </si>
  <si>
    <t>31.08.39</t>
  </si>
  <si>
    <t>Лечебная физкультура и спортивная медицина</t>
  </si>
  <si>
    <t>Психиатрия</t>
  </si>
  <si>
    <t>врач-психиатр</t>
  </si>
  <si>
    <t>31.08.21</t>
  </si>
  <si>
    <t>Психиатрия-наркология</t>
  </si>
  <si>
    <t>Психотерапия</t>
  </si>
  <si>
    <t>31.08.22</t>
  </si>
  <si>
    <t>31.08.10</t>
  </si>
  <si>
    <t>Судебно-медицинская экспертиза</t>
  </si>
  <si>
    <t>врач - судебно-медицинский эксперт</t>
  </si>
  <si>
    <t>31.08.50</t>
  </si>
  <si>
    <t>Физиотерапия</t>
  </si>
  <si>
    <t>32.08.12</t>
  </si>
  <si>
    <t>Эпидемиология</t>
  </si>
  <si>
    <t>31.08.07</t>
  </si>
  <si>
    <t>Патологическая анатомия</t>
  </si>
  <si>
    <t>20.05.01</t>
  </si>
  <si>
    <t>Пожарная безопасность</t>
  </si>
  <si>
    <t>23.05.06</t>
  </si>
  <si>
    <t>Строительство железных дорог, мостов и транспортных тоннелей</t>
  </si>
  <si>
    <t>09.04.02</t>
  </si>
  <si>
    <t>инженер</t>
  </si>
  <si>
    <t>специалист</t>
  </si>
  <si>
    <t>инженер путей сообщения</t>
  </si>
  <si>
    <t>звукорежиссер</t>
  </si>
  <si>
    <t>врач-эпидемиолог</t>
  </si>
  <si>
    <t>врач-психиатр-нарколог</t>
  </si>
  <si>
    <t>врач-психотерапевт</t>
  </si>
  <si>
    <t>врач по лечебной физкультуре и спортивной медицине</t>
  </si>
  <si>
    <t>врач скорой медицинской помощи</t>
  </si>
  <si>
    <t>врач-патологоанатом</t>
  </si>
  <si>
    <t>51.03.04</t>
  </si>
  <si>
    <t>Музеология и охрана объектов культурного и природного наследия</t>
  </si>
  <si>
    <t>53.03.04</t>
  </si>
  <si>
    <t>23.05.01</t>
  </si>
  <si>
    <t>Наземные транспортно-технологические средства</t>
  </si>
  <si>
    <t>31.08.59</t>
  </si>
  <si>
    <t>Офтальмология</t>
  </si>
  <si>
    <t>Детская хирургия</t>
  </si>
  <si>
    <t>31.08.16</t>
  </si>
  <si>
    <t>Металлургия</t>
  </si>
  <si>
    <t>22.03.02</t>
  </si>
  <si>
    <t>Химическая технология</t>
  </si>
  <si>
    <t>врач-физиотерапевт</t>
  </si>
  <si>
    <t>врач-офтальмолог</t>
  </si>
  <si>
    <t>врач - детский хирург</t>
  </si>
  <si>
    <t xml:space="preserve">солист-вокалист, преподаватель
</t>
  </si>
  <si>
    <t>21.03.02</t>
  </si>
  <si>
    <t>Землеустройство и кадастры</t>
  </si>
  <si>
    <t>51.04.04</t>
  </si>
  <si>
    <t>Конструкторско-технологическое обеспечение машиностроительных производств</t>
  </si>
  <si>
    <t>15.03 05</t>
  </si>
  <si>
    <t>Технологические машины и оборудование</t>
  </si>
  <si>
    <t>11.03.01</t>
  </si>
  <si>
    <t>Радиотехника</t>
  </si>
  <si>
    <t>09.04.04</t>
  </si>
  <si>
    <t>53.03.01</t>
  </si>
  <si>
    <t>Музыкальное искусство эстрады</t>
  </si>
  <si>
    <t>53.05.01</t>
  </si>
  <si>
    <t>Искусство концертного исполнительства</t>
  </si>
  <si>
    <t>44.03.01</t>
  </si>
  <si>
    <t>Педагогическое образование</t>
  </si>
  <si>
    <t>44.03.02</t>
  </si>
  <si>
    <t>Психолого-педагогическое образование</t>
  </si>
  <si>
    <t>44.03.03</t>
  </si>
  <si>
    <t>Специальное (дефектологическое) образование</t>
  </si>
  <si>
    <t>44.03.05</t>
  </si>
  <si>
    <t>Педагогическое образование (с двумя профилями подготовки)</t>
  </si>
  <si>
    <t>Археология</t>
  </si>
  <si>
    <t>ГУМАНИТАРНЫЕ НАУКИ</t>
  </si>
  <si>
    <t>46.00.00</t>
  </si>
  <si>
    <t>ИСТОРИЯ И АРХЕОЛОГИЯ</t>
  </si>
  <si>
    <t>46.03.04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</si>
  <si>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</si>
  <si>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</si>
  <si>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10.04.01</t>
  </si>
  <si>
    <t>10.05.01</t>
  </si>
  <si>
    <t>Компьютерная безопасность</t>
  </si>
  <si>
    <t>10.05.02</t>
  </si>
  <si>
    <t>10.05.03</t>
  </si>
  <si>
    <t>10.05.04</t>
  </si>
  <si>
    <t>Информационно-аналитические системы безопасности</t>
  </si>
  <si>
    <t>10.05.05</t>
  </si>
  <si>
    <t>Безопасность информационных технологий в правоохранительной сфере</t>
  </si>
  <si>
    <t>специалист по защите информации</t>
  </si>
  <si>
    <t>НАУКИ ОБ ОБЩЕСТВЕ</t>
  </si>
  <si>
    <t>38.04.01</t>
  </si>
  <si>
    <t>50.00.00</t>
  </si>
  <si>
    <t>ИСКУССТВОЗНАНИЕ</t>
  </si>
  <si>
    <t>50.03.04</t>
  </si>
  <si>
    <t>Теория и история искусств</t>
  </si>
  <si>
    <t>51.03.05</t>
  </si>
  <si>
    <t>Режиссура театрализованных представлений и праздников</t>
  </si>
  <si>
    <t>54.03.04</t>
  </si>
  <si>
    <t>Реставрация</t>
  </si>
  <si>
    <t>53.05.02</t>
  </si>
  <si>
    <t>Художественное руководство оперно-симфоническим оркестром и академическим хором</t>
  </si>
  <si>
    <t>53.05.05</t>
  </si>
  <si>
    <t>Музыковедение</t>
  </si>
  <si>
    <t>музыковед. Преподаватель</t>
  </si>
  <si>
    <t>35.04.10</t>
  </si>
  <si>
    <t>Гидромелиорация</t>
  </si>
  <si>
    <t>Садоводство</t>
  </si>
  <si>
    <t>35.03.05</t>
  </si>
  <si>
    <t>Бакалавр</t>
  </si>
  <si>
    <t>21.05.01</t>
  </si>
  <si>
    <t>21.05.04</t>
  </si>
  <si>
    <t>Горное дело</t>
  </si>
  <si>
    <t>40.03.01</t>
  </si>
  <si>
    <t>Юриспруденция</t>
  </si>
  <si>
    <t>18.03.01</t>
  </si>
  <si>
    <t>инженер-геодезист</t>
  </si>
  <si>
    <t>горный инженер (специалист)</t>
  </si>
  <si>
    <t>35.03.04</t>
  </si>
  <si>
    <t>35.03.07</t>
  </si>
  <si>
    <t>Технология производства и переработки сельскохозяйственной продукции</t>
  </si>
  <si>
    <t>35.04.05</t>
  </si>
  <si>
    <t>Магистр</t>
  </si>
  <si>
    <t>35.04.06</t>
  </si>
  <si>
    <t>Агроинженерия</t>
  </si>
  <si>
    <t>35.06.01</t>
  </si>
  <si>
    <t>Сельское хозяйство</t>
  </si>
  <si>
    <t>Исследователь.Преподаватель-исследователь</t>
  </si>
  <si>
    <t>35.06.04</t>
  </si>
  <si>
    <t>Технологии, средства механизации и энергетическое оборудование в сельском, лесном и рыбном хозяйстве</t>
  </si>
  <si>
    <t>Исследователь. Преподаватель-исследователь</t>
  </si>
  <si>
    <t>40.04.01</t>
  </si>
  <si>
    <t>35.03.08</t>
  </si>
  <si>
    <t>Водные биоресурсы и аквакультура</t>
  </si>
  <si>
    <t>35.03.09</t>
  </si>
  <si>
    <t>Промышленное рыболовство</t>
  </si>
  <si>
    <t>35.04.07</t>
  </si>
  <si>
    <t>35.04.08</t>
  </si>
  <si>
    <t>49.00.00</t>
  </si>
  <si>
    <t>ФИЗИЧЕСКАЯ КУЛЬТУРА И СПОРТ</t>
  </si>
  <si>
    <t>49.03.01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</si>
  <si>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</si>
  <si>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</si>
  <si>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Спорт</t>
  </si>
  <si>
    <t>МАТЕМАТИЧЕСКИЕ И ЕСТЕСТВЕННЫЕ НАУКИ</t>
  </si>
  <si>
    <t>04.00.00</t>
  </si>
  <si>
    <t>ХИМИЯ</t>
  </si>
  <si>
    <t>Химия</t>
  </si>
  <si>
    <t>Химия, физика и механика материалов</t>
  </si>
  <si>
    <t>04.03.01</t>
  </si>
  <si>
    <t>04.03.02</t>
  </si>
  <si>
    <t>Информатика и вычислительная техника</t>
  </si>
  <si>
    <t>09.03.03</t>
  </si>
  <si>
    <t>Прикладная информатика</t>
  </si>
  <si>
    <t>09.03.01</t>
  </si>
  <si>
    <t>Конструирование и технология электронных средств</t>
  </si>
  <si>
    <t>11.03.03</t>
  </si>
  <si>
    <t>Электроника и наноэлектроника</t>
  </si>
  <si>
    <t>11.03.04</t>
  </si>
  <si>
    <t>12.00.00</t>
  </si>
  <si>
    <t>ФОТОНИКА, ПРИБОРОСТРОЕНИЕ, ОПТИЧЕСКИЕ И БИОТЕХНИЧЕСКИЕ СИСТЕМЫ И ТЕХНОЛОГИИ</t>
  </si>
  <si>
    <t>13.03.02</t>
  </si>
  <si>
    <t>11.03 02</t>
  </si>
  <si>
    <t>Машиностроение</t>
  </si>
  <si>
    <t>15.03.01</t>
  </si>
  <si>
    <t>15.03.02</t>
  </si>
  <si>
    <t>15.03.04</t>
  </si>
  <si>
    <t>Автоматизация технологических процессов и производств</t>
  </si>
  <si>
    <t>Энерго- и ресурсосберегающие процессы в химической технологии, нефтехимии и биотехнологии</t>
  </si>
  <si>
    <t>18.03.02</t>
  </si>
  <si>
    <t>22.00.00</t>
  </si>
  <si>
    <t>ТЕХНОЛОГИИ МАТЕРИАЛОВ</t>
  </si>
  <si>
    <t>Материаловедение и технологии материалов</t>
  </si>
  <si>
    <t>22.03.01</t>
  </si>
  <si>
    <t>24.00.00</t>
  </si>
  <si>
    <t>АВИАЦИОННАЯ И РАКЕТНО-КОСМИЧЕСКАЯ ТЕХНИКА</t>
  </si>
  <si>
    <t>24.03.04</t>
  </si>
  <si>
    <t>Авиастроение</t>
  </si>
  <si>
    <t>24.03.05</t>
  </si>
  <si>
    <t>Двигатели летательных аппаратов</t>
  </si>
  <si>
    <t>25.00.00</t>
  </si>
  <si>
    <t>АЭРОНАВИГАЦИЯ И ЭКСПЛУАТАЦИЯ АВИАЦИОННОЙ И РАКЕТНО-КОСМИЧЕСКОЙ ТЕХНИКИ</t>
  </si>
  <si>
    <t>25.03.01</t>
  </si>
  <si>
    <t>Техническая эксплуатация летательных аппаратов и двигателей</t>
  </si>
  <si>
    <t>29.00.00</t>
  </si>
  <si>
    <t>ТЕХНОЛОГИИ ЛЕГКОЙ ПРОМЫШЛЕННОСТИ</t>
  </si>
  <si>
    <t>Технология изделий легкой промышленности</t>
  </si>
  <si>
    <t>Технологии и проектирование текстильных изделий</t>
  </si>
  <si>
    <t>Конструирование изделий легкой промышленности</t>
  </si>
  <si>
    <t>29.03.01</t>
  </si>
  <si>
    <t>29.03.02</t>
  </si>
  <si>
    <t>29.03.05</t>
  </si>
  <si>
    <t>54.03.03</t>
  </si>
  <si>
    <t>Искусство костюма и текстиля</t>
  </si>
  <si>
    <t>09.04.01</t>
  </si>
  <si>
    <t>11.04.03</t>
  </si>
  <si>
    <t>11.04.02</t>
  </si>
  <si>
    <t>Инфокоммуникационные технологии и системы связи</t>
  </si>
  <si>
    <t>29.04.01</t>
  </si>
  <si>
    <t>29.04.05</t>
  </si>
  <si>
    <t>12.05.01</t>
  </si>
  <si>
    <t>Электронные и оптико-электронные приборы и системы специального назначения</t>
  </si>
  <si>
    <t>Инженер</t>
  </si>
  <si>
    <t>11.05.01</t>
  </si>
  <si>
    <t>Радиоэлектронные системы и комплексы</t>
  </si>
  <si>
    <t>15.05.01</t>
  </si>
  <si>
    <t>Проектирование технологических машин и комплексов</t>
  </si>
  <si>
    <t>18.05.01</t>
  </si>
  <si>
    <t>Химическая технология энергонасыщенных материалов и изделий</t>
  </si>
  <si>
    <t>24.05.07</t>
  </si>
  <si>
    <t>Самолето- и вертолетостроение</t>
  </si>
  <si>
    <t>Прикладная математика и информатика</t>
  </si>
  <si>
    <t>01.03.02</t>
  </si>
  <si>
    <t>Математика и компьютерные науки</t>
  </si>
  <si>
    <t>02.03.01</t>
  </si>
  <si>
    <t>02.00.00</t>
  </si>
  <si>
    <t>КОМПЬЮТЕРНЫЕ И ИНФОРМАЦИОННЫЕ НАУКИ</t>
  </si>
  <si>
    <t>Фундаментальная информатика и информационные технологии</t>
  </si>
  <si>
    <t>02.03.02</t>
  </si>
  <si>
    <t>Математическое обеспечение и администрирование информационных систем</t>
  </si>
  <si>
    <t>02.03.03</t>
  </si>
  <si>
    <t>01.00.00</t>
  </si>
  <si>
    <t>МАТЕМАТИКА И МЕХАНИКА</t>
  </si>
  <si>
    <t>01.04.02</t>
  </si>
  <si>
    <t>02.04.01</t>
  </si>
  <si>
    <t>02.04.02</t>
  </si>
  <si>
    <t>02.04.03</t>
  </si>
  <si>
    <t>09.04.03</t>
  </si>
  <si>
    <t>05.04.06</t>
  </si>
  <si>
    <t>Экология и природопользование</t>
  </si>
  <si>
    <t>05.00.00</t>
  </si>
  <si>
    <t>НАУКИ О ЗЕМЛЕ</t>
  </si>
  <si>
    <t>05.03.06</t>
  </si>
  <si>
    <t>31.08.55</t>
  </si>
  <si>
    <t>Математика</t>
  </si>
  <si>
    <t>01.03.01</t>
  </si>
  <si>
    <t>03.00.00</t>
  </si>
  <si>
    <t>ФИЗИКА И АСТРОНОМИЯ</t>
  </si>
  <si>
    <t>03.03.02</t>
  </si>
  <si>
    <t>Физика</t>
  </si>
  <si>
    <t>География</t>
  </si>
  <si>
    <t>05.03.02</t>
  </si>
  <si>
    <t>06.00.00</t>
  </si>
  <si>
    <t>БИОЛОГИЧЕСКИЕ НАУКИ</t>
  </si>
  <si>
    <t>06.03.01</t>
  </si>
  <si>
    <t>Биология</t>
  </si>
  <si>
    <t>37.00.00</t>
  </si>
  <si>
    <t>ПСИХОЛОГИЧЕСКИЕ НАУКИ</t>
  </si>
  <si>
    <t>39.00.00</t>
  </si>
  <si>
    <t>СОЦИОЛОГИЯ И СОЦИАЛЬНАЯ РАБОТА</t>
  </si>
  <si>
    <t>39.03.02</t>
  </si>
  <si>
    <t>Социальная работа</t>
  </si>
  <si>
    <t>39.03.03</t>
  </si>
  <si>
    <t>Организация работы с молодежью</t>
  </si>
  <si>
    <t>01.04.01</t>
  </si>
  <si>
    <t>03.04.02</t>
  </si>
  <si>
    <t>04.04.01</t>
  </si>
  <si>
    <t>05.04.02</t>
  </si>
  <si>
    <t>06.04.01</t>
  </si>
  <si>
    <t>44.04.01</t>
  </si>
  <si>
    <t>44.04.02</t>
  </si>
  <si>
    <t>44.04.03</t>
  </si>
  <si>
    <t>44.04.04</t>
  </si>
  <si>
    <t>Профессиональное обучение (по отраслям)</t>
  </si>
  <si>
    <t>45.00.00</t>
  </si>
  <si>
    <t>ЯЗЫКОЗНАНИЕ И ЛИТЕРАТУРОВЕДЕНИЕ</t>
  </si>
  <si>
    <t>45.04.01</t>
  </si>
  <si>
    <t>Филология</t>
  </si>
  <si>
    <t>45.04.02</t>
  </si>
  <si>
    <t>Лингвистика</t>
  </si>
  <si>
    <t>47.00.00</t>
  </si>
  <si>
    <t>ФИЛОСОФИЯ, ЭТИКА И РЕЛИГИОВЕДЕНИЕ</t>
  </si>
  <si>
    <t>Религиоведение</t>
  </si>
  <si>
    <t>48.00.00</t>
  </si>
  <si>
    <t>ТЕОЛОГИЯ</t>
  </si>
  <si>
    <t>Теология</t>
  </si>
  <si>
    <t>Фундаментальные математика и механика</t>
  </si>
  <si>
    <t>Математик. Преподаватель</t>
  </si>
  <si>
    <t>Астрономия</t>
  </si>
  <si>
    <t>01.05.01</t>
  </si>
  <si>
    <t>03.05.01</t>
  </si>
  <si>
    <t>Астроном. Преподаватель</t>
  </si>
  <si>
    <t>03.05.02</t>
  </si>
  <si>
    <t>Фундаментальная и прикладная физика</t>
  </si>
  <si>
    <t>Физик.           Преподаватель</t>
  </si>
  <si>
    <t>04.05.01</t>
  </si>
  <si>
    <t>Фундаментальная и прикладная химия</t>
  </si>
  <si>
    <t>37.05.02</t>
  </si>
  <si>
    <t>Психология служебной деятельности</t>
  </si>
  <si>
    <t>Психолог</t>
  </si>
  <si>
    <t>45.05.01</t>
  </si>
  <si>
    <t>Перевод и переводоведение</t>
  </si>
  <si>
    <t>Лингвист-переводчик</t>
  </si>
  <si>
    <t>Педагогика и психология девиантного поведения</t>
  </si>
  <si>
    <t>Социальный педагог</t>
  </si>
  <si>
    <t>44.05.01</t>
  </si>
  <si>
    <t>53.05.06</t>
  </si>
  <si>
    <t>Композиция</t>
  </si>
  <si>
    <t xml:space="preserve">Композитор.
Преподаватель
</t>
  </si>
  <si>
    <t>44.03.04</t>
  </si>
  <si>
    <t>45.03.01</t>
  </si>
  <si>
    <t>45.03.02</t>
  </si>
  <si>
    <t>46.03.01</t>
  </si>
  <si>
    <t>История</t>
  </si>
  <si>
    <t>47.03.03</t>
  </si>
  <si>
    <t>48.03.01</t>
  </si>
  <si>
    <t>49.03.02</t>
  </si>
  <si>
    <t>49.03.03</t>
  </si>
  <si>
    <t>Рекреация и спортивно-оздоровительный туризм</t>
  </si>
  <si>
    <t>53.03.06</t>
  </si>
  <si>
    <t>Музыкознание и музыкально-прикладное искусство</t>
  </si>
  <si>
    <t>23.04.01</t>
  </si>
  <si>
    <t>Технология транспортных процессов</t>
  </si>
  <si>
    <t>Градостроительство</t>
  </si>
  <si>
    <t>07.04 04</t>
  </si>
  <si>
    <t>Строительство уникальных зданий и сооружений</t>
  </si>
  <si>
    <t>Инженер-строитель</t>
  </si>
  <si>
    <t>08.05.01</t>
  </si>
  <si>
    <t>Строительство, эксплуатация, восстановление и техническое прикрытие автомобильных дорог, мостов и тоннелей</t>
  </si>
  <si>
    <t>08.05.02</t>
  </si>
  <si>
    <t>50.03.03</t>
  </si>
  <si>
    <t>История искусств</t>
  </si>
  <si>
    <t>51.03.01</t>
  </si>
  <si>
    <t>Культурология</t>
  </si>
  <si>
    <t>51.03.02</t>
  </si>
  <si>
    <t>Народная художественная культура</t>
  </si>
  <si>
    <t>51.03.03</t>
  </si>
  <si>
    <t>Социально-культурная деятельность</t>
  </si>
  <si>
    <t>52.03.04</t>
  </si>
  <si>
    <t>Технология художественного оформления спектакля</t>
  </si>
  <si>
    <t>52.03.06</t>
  </si>
  <si>
    <t>Драматургия</t>
  </si>
  <si>
    <t>Артист ансамбля.
Концертмейстер.
Преподаватель
(Фортепиано)</t>
  </si>
  <si>
    <t>Артист ансамбля.
Артист оркестра.
Преподаватель.
Руководитель творческого коллектива
(Оркестровые духовые и ударные инструменты)</t>
  </si>
  <si>
    <t>Артист ансамбля.
Артист оркестра.
Концертмейстер.
Руководитель творческого коллектива.
Преподаватель
(Баян, аккордеон и струнные щипковые инструменты).</t>
  </si>
  <si>
    <t>Концертный исполнитель.
Артист ансамбля.
Преподаватель
(Инструменты эстрадного оркестра)</t>
  </si>
  <si>
    <t>Концертный исполнитель.
Артист ансамбля.
Преподаватель
(Эстрадно-джазовое пение)</t>
  </si>
  <si>
    <t>Концертный исполнитель.
Солист ансамбля.
Преподаватель
(Сольное народное пение)</t>
  </si>
  <si>
    <t>Хормейстер.
Руководитель творческого коллектива.
Преподаватель
(Хоровое народное пение)</t>
  </si>
  <si>
    <t xml:space="preserve">Дирижер хора.
Хормейстер.
Артист хора.
Преподаватель
(Дирижирование академическим хором)
</t>
  </si>
  <si>
    <t>Дирижер оркестра народных инструментов.
Преподаватель
(Дирижирование оркестром народных инструментов)</t>
  </si>
  <si>
    <t>Дирижер оркестра духовых инструментов.
Преподаватель
(Дирижирование оркестром духовых инструментов)</t>
  </si>
  <si>
    <t>Дирижер оперно-симфонического оркестра.
Преподаватель
(Дирижирование оперно-симфоническим оркестром)</t>
  </si>
  <si>
    <t>Этномузыколог.
Преподаватель.
Руководитель творческого коллектива
(этномузыкология)</t>
  </si>
  <si>
    <t>Медиевист.
Преподаватель.
Руководитель творческого коллектива
(древнерусское певческое искусство)</t>
  </si>
  <si>
    <t>Преподаватель (музыкальная педагогика)</t>
  </si>
  <si>
    <t>Преподаватель.
Аранжировщик
(компьютерная музыка и аранжировка)</t>
  </si>
  <si>
    <t>Преподаватель.
Менеджер музыкального искусства
(менеджмент музыкального искусства)</t>
  </si>
  <si>
    <t>Преподаватель.
Специалист в области музыкальной рекламы
(музыкальная реклама)</t>
  </si>
  <si>
    <t>54.03.01</t>
  </si>
  <si>
    <t>Дизайн</t>
  </si>
  <si>
    <t>54.03.02</t>
  </si>
  <si>
    <t>Декоративно-прикладное искусство и народные промыслы</t>
  </si>
  <si>
    <t>54.03.05</t>
  </si>
  <si>
    <t>Традиционное прикладное искусство</t>
  </si>
  <si>
    <t>Литературный работник.
Литературный работник, переводчик художественной литературы</t>
  </si>
  <si>
    <t>52.05.04</t>
  </si>
  <si>
    <t>Литературное творчество</t>
  </si>
  <si>
    <t>52.05.05</t>
  </si>
  <si>
    <t>Актерское искусство в музыкальном театре</t>
  </si>
  <si>
    <t>Артист-вокалист</t>
  </si>
  <si>
    <t>Концертный исполнитель.
Преподаватель</t>
  </si>
  <si>
    <t>Дирижер оперно-симфонического оркестра.
Преподаватель
Дирижер академического хора.
Преподаватель</t>
  </si>
  <si>
    <t>Музыкальный звукорежиссер.
Преподаватель</t>
  </si>
  <si>
    <t>53.05.07</t>
  </si>
  <si>
    <t>Дирижирование военным духовым оркестром</t>
  </si>
  <si>
    <t>Дирижер военного духового оркестра</t>
  </si>
  <si>
    <t>54.05.01</t>
  </si>
  <si>
    <t>Монументально-декоративное искусство</t>
  </si>
  <si>
    <t>54.05.02</t>
  </si>
  <si>
    <t>Живопись</t>
  </si>
  <si>
    <t>55.05.02</t>
  </si>
  <si>
    <t>Звукорежиссура аудиовизуальных искусств</t>
  </si>
  <si>
    <t>Звукорежиссер
аудиовизуальных искусств</t>
  </si>
  <si>
    <t>Искусства и гуманитарные науки</t>
  </si>
  <si>
    <t>51.04.05</t>
  </si>
  <si>
    <t>51.04.06</t>
  </si>
  <si>
    <t>52.00.00</t>
  </si>
  <si>
    <t>52.04.01</t>
  </si>
  <si>
    <t>52.04.02</t>
  </si>
  <si>
    <t>52.04.03</t>
  </si>
  <si>
    <t>Театральное искусство</t>
  </si>
  <si>
    <t>53.04.01</t>
  </si>
  <si>
    <t>53.04.02</t>
  </si>
  <si>
    <t>53.04.03</t>
  </si>
  <si>
    <t>53.04.04</t>
  </si>
  <si>
    <t>53.04.05</t>
  </si>
  <si>
    <t>Искусство</t>
  </si>
  <si>
    <t>53.04.06</t>
  </si>
  <si>
    <t>54.05.03</t>
  </si>
  <si>
    <t>Графика</t>
  </si>
  <si>
    <t>54.05.04</t>
  </si>
  <si>
    <t>Скульптура</t>
  </si>
  <si>
    <t>54.05.05</t>
  </si>
  <si>
    <t>Живопись и изящные искусства</t>
  </si>
  <si>
    <t>Специалист.
Художник</t>
  </si>
  <si>
    <t>55.00.00</t>
  </si>
  <si>
    <t>ЭКРАННЫЕ ИСКУССТВА</t>
  </si>
  <si>
    <t xml:space="preserve">Артист музыкального театра. Преподаватель (Театр оперетты)
</t>
  </si>
  <si>
    <t xml:space="preserve">Артист драматического театра и кино. Артист музыкального театра. Артист театра кукол. Артист эстрады. Артист мюзикла               </t>
  </si>
  <si>
    <t>Режиссер драмы. Режиссер музыкального театра. Режиссер театра кукол. Режиссер эстрады. Режиссер цирка</t>
  </si>
  <si>
    <t>Художник-постановщик театра. Художник-постановщик в театре кукол. Художник по сценическому костюму. Художник по гриму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</si>
  <si>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Потребность республиканского рынка труда
          в специалистах различных направлений на 2021-2035 годы
                </t>
  </si>
  <si>
    <t>Наименование профессии, специальности  по Перечню</t>
  </si>
  <si>
    <t xml:space="preserve">Потребность  в специалистах, чел.            </t>
  </si>
  <si>
    <t xml:space="preserve">ПОДГОТОВКА СПЕЦИАЛИСТОВ СО СРЕДНИМ ОБРАЗОВАНИЕМ </t>
  </si>
  <si>
    <t xml:space="preserve">Перечень профессий среднего профессионального образования </t>
  </si>
  <si>
    <t>08.01 01</t>
  </si>
  <si>
    <t>Изготовитель арматурных сеток и каркасов</t>
  </si>
  <si>
    <t xml:space="preserve">Арматурщик
</t>
  </si>
  <si>
    <t xml:space="preserve">Сварщик арматурных сеток и каркасов
</t>
  </si>
  <si>
    <t>08.01.02</t>
  </si>
  <si>
    <t>Монтажник трубопроводов</t>
  </si>
  <si>
    <t>Монтажник технологических трубопроводов</t>
  </si>
  <si>
    <t>08.01.04</t>
  </si>
  <si>
    <t>Кровельщик</t>
  </si>
  <si>
    <t xml:space="preserve">Кровельщик по рулонным кровлям и по кровлям из штучных  материалов. </t>
  </si>
  <si>
    <t>Кровельщик по стальным кровлям</t>
  </si>
  <si>
    <t>08.01.05</t>
  </si>
  <si>
    <t>Мастер столярно-плотничных и паркетных работ</t>
  </si>
  <si>
    <t>Столяр строительный</t>
  </si>
  <si>
    <t>Плотник</t>
  </si>
  <si>
    <t>Стекольщик</t>
  </si>
  <si>
    <t>Паркетчик</t>
  </si>
  <si>
    <t>08.01.06</t>
  </si>
  <si>
    <t>Мастер сухого строительства</t>
  </si>
  <si>
    <t>Маляр строительный</t>
  </si>
  <si>
    <t>Облицовщик-плиточник</t>
  </si>
  <si>
    <t>Облицовщик синтетическими материалами</t>
  </si>
  <si>
    <t>Штукатур</t>
  </si>
  <si>
    <t>Монтажник каркасно-обшивных конструкций</t>
  </si>
  <si>
    <t>08.01.07</t>
  </si>
  <si>
    <t>Мастер общестроительных работ</t>
  </si>
  <si>
    <t>Бетонщик</t>
  </si>
  <si>
    <t>Каменщик</t>
  </si>
  <si>
    <t>Монтажник по монтажу стальных и железобетонных конструкций</t>
  </si>
  <si>
    <t>Электросварщик ручной сварки</t>
  </si>
  <si>
    <t>Печник</t>
  </si>
  <si>
    <t>Стропальщик</t>
  </si>
  <si>
    <t>08.01.08</t>
  </si>
  <si>
    <t>Мастер отделочных строительных работ</t>
  </si>
  <si>
    <t>Облицовщик-мозаичник</t>
  </si>
  <si>
    <t>08.01.09</t>
  </si>
  <si>
    <t>Слесарь по строительно-монтажным работам</t>
  </si>
  <si>
    <t>Слесарь строительный</t>
  </si>
  <si>
    <t>Слесарь по сборке металлоконструкций</t>
  </si>
  <si>
    <t>Электрослесарь строительный</t>
  </si>
  <si>
    <t>Такелажник</t>
  </si>
  <si>
    <t>08.01.10</t>
  </si>
  <si>
    <t>Мастер жилизно-коммунального хозяйства</t>
  </si>
  <si>
    <t>Слесарь сантехник</t>
  </si>
  <si>
    <t>Электрогазосварщик</t>
  </si>
  <si>
    <t>Электромонтажник по освещению и осветительным сетям</t>
  </si>
  <si>
    <t>08.01.13</t>
  </si>
  <si>
    <t>Изготовитель железобетонных изделий</t>
  </si>
  <si>
    <t>Машинист формовочного агрегата</t>
  </si>
  <si>
    <t>Моторист бетоносмесительных установок</t>
  </si>
  <si>
    <t>Формовщик изделий, конструкций и строительных материалов</t>
  </si>
  <si>
    <t>Прессовщик строительных изделий</t>
  </si>
  <si>
    <t>08.01.14</t>
  </si>
  <si>
    <t>Монтажник санитарно-технических, вентиляционных систем и оборудования</t>
  </si>
  <si>
    <t>Монтажник санитарно-технических систем и оборудования</t>
  </si>
  <si>
    <t xml:space="preserve">Монтажник систем вентиляции, кондиционирования воздуха, пневмотранспорта и аспирации                       </t>
  </si>
  <si>
    <t>08.01.15</t>
  </si>
  <si>
    <t>Слесарь по изготовлению деталей и узлов технических систем в строительстве</t>
  </si>
  <si>
    <t>Слесарь по изготовлению узлов и деталей санитарно-технических систем</t>
  </si>
  <si>
    <t>Слесарь по изготовлению деталей и узлов систем вентиляции, кондиционирования воздуха, пневмотранспорта и аспирации</t>
  </si>
  <si>
    <t>Слесарь по изготовлению узлов и деталей технологических трубопроводов</t>
  </si>
  <si>
    <t>08.01.17</t>
  </si>
  <si>
    <t>Электромонтажник-наладчик</t>
  </si>
  <si>
    <t>08.01.18</t>
  </si>
  <si>
    <t>Электромонтажник электрических сетей и электрооборудования</t>
  </si>
  <si>
    <t>Электромонтажник по распределительным устройствам и вторичным цепям</t>
  </si>
  <si>
    <t>Электромонтажник по кабельным сетям</t>
  </si>
  <si>
    <t>08.01.19</t>
  </si>
  <si>
    <t>Электромонтажник по силовым сетям и электрооборудованию</t>
  </si>
  <si>
    <t>08.01.21</t>
  </si>
  <si>
    <t>Монтажник электрических подъемников (лифтов)</t>
  </si>
  <si>
    <t>08.01 24</t>
  </si>
  <si>
    <t>Мастер столярно-плотничных, паркетных и стекольных работ</t>
  </si>
  <si>
    <t>08.01 25</t>
  </si>
  <si>
    <t>Мастер отделочных строительных и декоративных работ</t>
  </si>
  <si>
    <t>08.01.26</t>
  </si>
  <si>
    <t xml:space="preserve">Мастер по ремонту и обслуживанию инженерных систем жилищно-коммунального хозяйства
</t>
  </si>
  <si>
    <t>Слесарь-сантехник</t>
  </si>
  <si>
    <t xml:space="preserve">Слесарь-сантехник
Электромонтажник по освещению и осветительным сетям
</t>
  </si>
  <si>
    <t>09.01.01</t>
  </si>
  <si>
    <t>Наладчик аппаратного и программного обеспечения</t>
  </si>
  <si>
    <t>Наладчик технологического оборудования</t>
  </si>
  <si>
    <t>09.01.02</t>
  </si>
  <si>
    <t>Наладчик компьютерных сетей</t>
  </si>
  <si>
    <t>09.01.03</t>
  </si>
  <si>
    <t>Мастер по обработке цифровой информации</t>
  </si>
  <si>
    <t>Оператор электронно-вычислительных и вычислительных машин</t>
  </si>
  <si>
    <t>11.01.01</t>
  </si>
  <si>
    <t>Монтажник радиоэлектронной аппаратуры и приборов</t>
  </si>
  <si>
    <t>11.01.02</t>
  </si>
  <si>
    <t>Радиомеханик</t>
  </si>
  <si>
    <t>Радиомеханик по обслуживанию и ремонту радиотелевизионной аппаратуры</t>
  </si>
  <si>
    <t>11.01.05</t>
  </si>
  <si>
    <t>Монтажник связи</t>
  </si>
  <si>
    <t>Монтажник связи - линейщик Монтажник связи - спайщик Монтажник связи - антенщик Монтажник связи - кабельщик</t>
  </si>
  <si>
    <t>11.01.06</t>
  </si>
  <si>
    <t>Электромонтер оборудования электросвязи и проводного вещания</t>
  </si>
  <si>
    <t xml:space="preserve">Электромонтер станционного оборудования радиофикации Электромонтер станционного оборудования телеграфной связи
Электромонтер станционного оборудования телефонной связи
</t>
  </si>
  <si>
    <t>11.01.08</t>
  </si>
  <si>
    <t>Оператор связи</t>
  </si>
  <si>
    <t>11.01.07</t>
  </si>
  <si>
    <t>Электромонтер по ремонту линейно-кабельных сооружений телефонной связи и проводного вещания</t>
  </si>
  <si>
    <t>13.01.07</t>
  </si>
  <si>
    <t>Электромонтер по ремонту электросетей</t>
  </si>
  <si>
    <t>Электромонтер по ремонту аппаратуры релейной защиты и автоматики Электромонтер по ремонту воздушных линий электропередачи Электромонтер по ремонту вторичной коммутации и связи Электромонтер по ремонту и монтажу кабельных линий</t>
  </si>
  <si>
    <t>13.01.10</t>
  </si>
  <si>
    <t>Электромонтер по ремонту и обслуживанию электрооборудования (по отраслям)</t>
  </si>
  <si>
    <t>Электромонтер по ремонту и обслуживанию электрооборудования</t>
  </si>
  <si>
    <t>Электросварщик на автоматических и полуавтоматических машинах</t>
  </si>
  <si>
    <t>15.01.05</t>
  </si>
  <si>
    <t>Сварщик ручной дуговой сварки плавящимся покрытым электродом</t>
  </si>
  <si>
    <t>Сварщик частично механизированной сварки плавлением</t>
  </si>
  <si>
    <t>Сварщик ручной дуговой сварки неплавящимся электродом в защитном газе</t>
  </si>
  <si>
    <t>Газосварщик</t>
  </si>
  <si>
    <t>Сварщик ручной сварки полимерных материалов</t>
  </si>
  <si>
    <t>Сварщик (электросварочные и газосварочные работы)</t>
  </si>
  <si>
    <t>Газорезчик</t>
  </si>
  <si>
    <t>Наладчик контрольно-измерительных приборов и автоматики</t>
  </si>
  <si>
    <t>Оператор станков с программным управлением</t>
  </si>
  <si>
    <t>Станочник широкого профиля</t>
  </si>
  <si>
    <t>Токарь-расточник</t>
  </si>
  <si>
    <t>15.01.27</t>
  </si>
  <si>
    <t>Фрезеровщик-универсал</t>
  </si>
  <si>
    <t>15.01.29</t>
  </si>
  <si>
    <t>Контролер станочных и слесарных работ</t>
  </si>
  <si>
    <t>Комплектовщик изделий и инструмента</t>
  </si>
  <si>
    <t>15.01.30</t>
  </si>
  <si>
    <t>Слесарь (инструмент-к, механосборочных работ, ремонтник)</t>
  </si>
  <si>
    <t>15.01.31</t>
  </si>
  <si>
    <t>Мастер контрольно-измерительных приборов и автоматики</t>
  </si>
  <si>
    <t>15.01.32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</si>
  <si>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</si>
  <si>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</si>
  <si>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</si>
  <si>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</si>
  <si>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</si>
  <si>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</si>
  <si>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18.01.01</t>
  </si>
  <si>
    <t>Лаборант по физико-механическим испытаниям</t>
  </si>
  <si>
    <t>18.01.06</t>
  </si>
  <si>
    <t>Оператор производства стекловолокна, стекловолокнистых материалов и изделий стеклопластиков</t>
  </si>
  <si>
    <t>Размотчик стеклонити</t>
  </si>
  <si>
    <t>Оператор получения непрерывного стекловолокна</t>
  </si>
  <si>
    <t>18.01.08</t>
  </si>
  <si>
    <t>Мастер-изготовитель деталей и изделий из стекла</t>
  </si>
  <si>
    <t>Оператор стеклоформующих машин</t>
  </si>
  <si>
    <t>23.01 01</t>
  </si>
  <si>
    <t>Оператор транспортного терминала</t>
  </si>
  <si>
    <t xml:space="preserve">Водитель погрузчика                                         </t>
  </si>
  <si>
    <t>23.01.02</t>
  </si>
  <si>
    <t xml:space="preserve">Докер-механизатор
</t>
  </si>
  <si>
    <t xml:space="preserve">Механизатор (докер-механизатор) комплексной бригады на погрузочно-разгрузочных работах
Стропальщик
Машинист крана (крановщик)
Крановый электрик
Водитель погрузчика
Водитель электро- и автотележки
</t>
  </si>
  <si>
    <t>23.01 03</t>
  </si>
  <si>
    <t>Автомеханик</t>
  </si>
  <si>
    <t xml:space="preserve">Водитель автомобиля                           Слесарь по ремонту автомобилей
Водитель автомобиля
Оператор заправочных станций
</t>
  </si>
  <si>
    <t>23.01.06</t>
  </si>
  <si>
    <t>Машинист дорожных и строительных машин</t>
  </si>
  <si>
    <t>Машинист бульдозера</t>
  </si>
  <si>
    <t>Машинист скрепера</t>
  </si>
  <si>
    <t>Машинист автогрейдера</t>
  </si>
  <si>
    <t>Машинист экскаватора одноковшового</t>
  </si>
  <si>
    <t>Машинист катка самоходного с гладкими вальцами</t>
  </si>
  <si>
    <t>Машинист компрессора передвижного с двигателем внутреннего сгорания</t>
  </si>
  <si>
    <t xml:space="preserve">Машинист трубоукладчика
</t>
  </si>
  <si>
    <t>Тракторист</t>
  </si>
  <si>
    <t>23.01.07</t>
  </si>
  <si>
    <t>Машинист крана (крановщик)</t>
  </si>
  <si>
    <t>Машинист крана автомобильного</t>
  </si>
  <si>
    <t xml:space="preserve">Водитель автомобиля
</t>
  </si>
  <si>
    <t>23.01.08</t>
  </si>
  <si>
    <t>Слесарь по ремонту строительных машин</t>
  </si>
  <si>
    <t>Слесарь по ремонту дорожно-строительных машин и тракторов</t>
  </si>
  <si>
    <t xml:space="preserve">Слесарь по ремонту автомобилей
</t>
  </si>
  <si>
    <t>23.01.11</t>
  </si>
  <si>
    <t>Слесарь-электрик по ремонту электрооборудования подвижного состава (электровозов, электропоездов)</t>
  </si>
  <si>
    <t>23.01.17</t>
  </si>
  <si>
    <t>Мастер по ремонту и обслуживанию автомобилей</t>
  </si>
  <si>
    <t>29.01.01</t>
  </si>
  <si>
    <t>Скорняк</t>
  </si>
  <si>
    <t>29.01.02</t>
  </si>
  <si>
    <t>Обувщик (широкого профиля)</t>
  </si>
  <si>
    <t xml:space="preserve">Обувщик по индивидуальному пошиву
Обувщик по пошиву ортопедической обуви
</t>
  </si>
  <si>
    <t>29.01.03</t>
  </si>
  <si>
    <t>Сборщик обуви</t>
  </si>
  <si>
    <t>Сборщик обуви. Затяжчик обуви</t>
  </si>
  <si>
    <t>29.01.08</t>
  </si>
  <si>
    <t>Оператор швейного оборудования</t>
  </si>
  <si>
    <t>Швея</t>
  </si>
  <si>
    <t>35.01.02</t>
  </si>
  <si>
    <t>Станочник деревообрабатывающих станков</t>
  </si>
  <si>
    <t>Станочник деревообрабатываюших станков</t>
  </si>
  <si>
    <t>35.01.09</t>
  </si>
  <si>
    <t>Мастер растениеводства</t>
  </si>
  <si>
    <t>35.01.13</t>
  </si>
  <si>
    <t>Тракторист-машинист сельскохозяйственного производства</t>
  </si>
  <si>
    <t xml:space="preserve">Слесарь по ремонту
сельскохозяйственных
машин и оборудования                    
</t>
  </si>
  <si>
    <t>Водитель автомобиля</t>
  </si>
  <si>
    <t>35.01.14</t>
  </si>
  <si>
    <t>Мастер по техническому обслуживанию и ремонту машинно-тракторного парка</t>
  </si>
  <si>
    <t xml:space="preserve">Мастер-наладчик по техническому обслуживанию машинно-тракторного парка
Слесарь по ремонту сельскохозяйственных машин и оборудования
Тракторист
Водитель автомобиля
Водитель мототранспортных средств
</t>
  </si>
  <si>
    <t>35.01.17</t>
  </si>
  <si>
    <t>Обработчик рыбы и морепродуктов</t>
  </si>
  <si>
    <t xml:space="preserve">Обработчик рыбы и морепродуктов
Кулинар изделий из рыбы и морепродуктов
Оператор коптильной установки
</t>
  </si>
  <si>
    <t>38.01.02</t>
  </si>
  <si>
    <t>Продавец, контролер-кассир</t>
  </si>
  <si>
    <t xml:space="preserve">Продавец </t>
  </si>
  <si>
    <t>43.01.01</t>
  </si>
  <si>
    <t>Официант, бармен</t>
  </si>
  <si>
    <t xml:space="preserve">Официант. Бармен
</t>
  </si>
  <si>
    <t>Перечень специальностей среднего профессионального образования</t>
  </si>
  <si>
    <t>08.02.01</t>
  </si>
  <si>
    <t>Строительство и эксплуатация зданий и сооружений</t>
  </si>
  <si>
    <t xml:space="preserve">Техник
Старший техник
</t>
  </si>
  <si>
    <t>08.02.02</t>
  </si>
  <si>
    <t>Строительство и эксплуатация инженерных сооружений</t>
  </si>
  <si>
    <t>08.02.03</t>
  </si>
  <si>
    <t>Производство неметаллических строительных изделий и конструкций</t>
  </si>
  <si>
    <t>08.02.04</t>
  </si>
  <si>
    <t>Водоснабжение и водоотведение</t>
  </si>
  <si>
    <t>08.02.05</t>
  </si>
  <si>
    <t>Строительство и эксплуатация автомобильных дорог и аэродромов, мостов</t>
  </si>
  <si>
    <t>08.02.06</t>
  </si>
  <si>
    <t>Строительство и эксплуатация городских путей сообщения</t>
  </si>
  <si>
    <t>08.02.07</t>
  </si>
  <si>
    <t>Монтаж и эксплуатация внутренних сантехнических устройств, кондиционирования воздуха и вентиляции</t>
  </si>
  <si>
    <t>08.02.08</t>
  </si>
  <si>
    <t>Монтаж и эксплуатация оборудования и систем газоснабжения</t>
  </si>
  <si>
    <t>08.02.09</t>
  </si>
  <si>
    <t>Монтаж, наладка и эксплуатация электрооборудования промышленных и гражданских зданий</t>
  </si>
  <si>
    <t>08.02.10</t>
  </si>
  <si>
    <t>Строительство железных дорог, путь и путевое хозяйство</t>
  </si>
  <si>
    <t>09.02.01</t>
  </si>
  <si>
    <t>Компьютерные системы и комплексы</t>
  </si>
  <si>
    <t xml:space="preserve">Техник по компьютерным системам
Специалист по компьютерным системам
</t>
  </si>
  <si>
    <t>09.02.02</t>
  </si>
  <si>
    <t>Компьютерные сети</t>
  </si>
  <si>
    <t xml:space="preserve">Техник по компьютерным сетям
Специалист по администрированию сети
</t>
  </si>
  <si>
    <t>09.02.03</t>
  </si>
  <si>
    <t>Программирование в компьютерных системах</t>
  </si>
  <si>
    <t>Техник-программист       Программист</t>
  </si>
  <si>
    <t>09.02.04</t>
  </si>
  <si>
    <t>Информационные системы (по отраслям)</t>
  </si>
  <si>
    <t xml:space="preserve">Техник по информационным системам
Специалист по информационным системам
</t>
  </si>
  <si>
    <t>09.02.05</t>
  </si>
  <si>
    <t>Прикладная информатика (по отраслям)</t>
  </si>
  <si>
    <t xml:space="preserve">Техник-программист
Специалист по прикладной информатике
</t>
  </si>
  <si>
    <t>09.02.06</t>
  </si>
  <si>
    <t>Сетевое и системное администрирование</t>
  </si>
  <si>
    <t xml:space="preserve">Сетевой и системный администратор
Специалист по администрированию сети
</t>
  </si>
  <si>
    <t>09.02.07</t>
  </si>
  <si>
    <t>Информационные системы и программирование</t>
  </si>
  <si>
    <t xml:space="preserve">Администратор баз данных
Специалист по тестированию в области информационных технологий
Программист
Технический писатель
Специалист по информационным системам
Специалист по информационным ресурсам
Разработчик веб и мультимедийных приложений
</t>
  </si>
  <si>
    <t>10.02.01</t>
  </si>
  <si>
    <t>Организация и технология защиты информации</t>
  </si>
  <si>
    <t xml:space="preserve">Техник по защите информации
Старший техник по защите информации
</t>
  </si>
  <si>
    <t>10.02.02</t>
  </si>
  <si>
    <t>10.02.03</t>
  </si>
  <si>
    <t>10.02.04</t>
  </si>
  <si>
    <t>Обеспечение информационной безопасности телекоммуникационных систем</t>
  </si>
  <si>
    <t xml:space="preserve">Техник по защите информации
</t>
  </si>
  <si>
    <t>10.02.05</t>
  </si>
  <si>
    <t>Обеспечение информационной безопасности автоматизированных систем</t>
  </si>
  <si>
    <t>11.02.02</t>
  </si>
  <si>
    <t>Техническое обслуживание и ремонт радиоэлектронной техники (по отраслям)</t>
  </si>
  <si>
    <t>11.02.08</t>
  </si>
  <si>
    <t>Средства связи с подвижными объектами</t>
  </si>
  <si>
    <t xml:space="preserve">Техник
Специалист по телекоммуникациям
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</si>
  <si>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</si>
  <si>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</si>
  <si>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</si>
  <si>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</si>
  <si>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11.02.11</t>
  </si>
  <si>
    <t>Сети связи и системы коммутации</t>
  </si>
  <si>
    <t>11.02.12</t>
  </si>
  <si>
    <t>Почтовая связь</t>
  </si>
  <si>
    <t xml:space="preserve">Специалист почтовой связи
</t>
  </si>
  <si>
    <t>11.02.15</t>
  </si>
  <si>
    <t>Инфокоммуникационные сети и системы связи</t>
  </si>
  <si>
    <t>Специалист по обслуживанию телекоммуникаций</t>
  </si>
  <si>
    <t>13.02.03</t>
  </si>
  <si>
    <t>Электрические станции, сети и системы</t>
  </si>
  <si>
    <t>Техник-электрик
Старший техник-электрик</t>
  </si>
  <si>
    <t>13.02.04</t>
  </si>
  <si>
    <t>Гидроэлектроэнергетические установки</t>
  </si>
  <si>
    <t>Техник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</si>
  <si>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</si>
  <si>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</si>
  <si>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</si>
  <si>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</si>
  <si>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Техник
Специалист по электроснабжению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</si>
  <si>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</si>
  <si>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</si>
  <si>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15.02.08</t>
  </si>
  <si>
    <t>Технология машиностроения</t>
  </si>
  <si>
    <t>Техник. Специалист по технологии машиностроения</t>
  </si>
  <si>
    <t>15.02.15</t>
  </si>
  <si>
    <t>Технология металлообрабатывающего производства</t>
  </si>
  <si>
    <t>Техник-технолог</t>
  </si>
  <si>
    <t>22.02.06</t>
  </si>
  <si>
    <t>Сварочное производство</t>
  </si>
  <si>
    <t xml:space="preserve">Техник
Специалист сварочного
производства
</t>
  </si>
  <si>
    <t>25.02.08</t>
  </si>
  <si>
    <t>Эксплуатация беспилотных авиационных систем</t>
  </si>
  <si>
    <t>Оператор беспилотных летательных аппаратов</t>
  </si>
  <si>
    <t>29.02.03</t>
  </si>
  <si>
    <t>Конструирование, моделирование и технология изделий из меха</t>
  </si>
  <si>
    <t>Технолог-конструктор</t>
  </si>
  <si>
    <t>36.02.01</t>
  </si>
  <si>
    <t>Ветеринария</t>
  </si>
  <si>
    <t xml:space="preserve">Ветеринарный фельдшер                         </t>
  </si>
  <si>
    <t>38.02.01</t>
  </si>
  <si>
    <t>Экономика и бухгалтерский учет (по отраслям)</t>
  </si>
  <si>
    <t>Бухгалтер</t>
  </si>
  <si>
    <t xml:space="preserve">ИТОГО: СПО по республике </t>
  </si>
  <si>
    <t xml:space="preserve">Потребность  в специалистах, чел.      </t>
  </si>
  <si>
    <t>Фрезеровщик</t>
  </si>
  <si>
    <t>Зуборезчик</t>
  </si>
  <si>
    <t>Слесарь-ремонтник</t>
  </si>
  <si>
    <t xml:space="preserve">Слесарь-инструментальщик. </t>
  </si>
  <si>
    <t>Слесарь механосборочных работ</t>
  </si>
  <si>
    <t xml:space="preserve">Оператор станков с программным управлением
</t>
  </si>
  <si>
    <t xml:space="preserve">Токарь. </t>
  </si>
  <si>
    <t xml:space="preserve">Токарь-карусельщик. </t>
  </si>
  <si>
    <t>Шевинговальщик</t>
  </si>
  <si>
    <t xml:space="preserve">Зуборезчик.                               
</t>
  </si>
  <si>
    <t>18.01.05</t>
  </si>
  <si>
    <t>Аппаратчик-оператор производства неорганических веществ</t>
  </si>
  <si>
    <t>Аппартчик смешивания</t>
  </si>
  <si>
    <t>Аппартчик дозирования</t>
  </si>
  <si>
    <t>Скорняк-наборщик
Скорняк-раскройщик
Швея (в сырейно-красильных и скорняжных цехах)</t>
  </si>
  <si>
    <t>15.02.03</t>
  </si>
  <si>
    <t>Техническая эксплуатация гидравлических машин, гидроприводов и гидропневмоавтоматики</t>
  </si>
  <si>
    <t xml:space="preserve">Овощевод </t>
  </si>
  <si>
    <t xml:space="preserve">Монтажник наружных трубопроводов </t>
  </si>
  <si>
    <t>Наладчик литейного оборудования</t>
  </si>
  <si>
    <t>15.01.08</t>
  </si>
  <si>
    <t>15.01.19</t>
  </si>
  <si>
    <t xml:space="preserve">Наладчик контрольно-измерительных приборов и автоматики
Слесарь по контрольно-измерительным приборам и автоматике
</t>
  </si>
  <si>
    <t>Наладчик станков и оборудования в механообработке</t>
  </si>
  <si>
    <t>15.01.23</t>
  </si>
  <si>
    <t xml:space="preserve">Наладчик автоматических линий и агрегатных станков
Наладчик автоматов и полуавтоматов
Наладчик станков и манипуляторов с программным управлением
Станочник широкого профиля
</t>
  </si>
  <si>
    <t>Станочник (металлообработка)</t>
  </si>
  <si>
    <t>15.01.25</t>
  </si>
  <si>
    <t>Чертежник-конструктор</t>
  </si>
  <si>
    <t>15.01.22</t>
  </si>
  <si>
    <t>Чертежник-конструктор Чертежник</t>
  </si>
  <si>
    <t>Токарь-универсал</t>
  </si>
  <si>
    <t>Токарь</t>
  </si>
  <si>
    <t>Токарь-карусельщик</t>
  </si>
  <si>
    <t>Токарь-револьверщик</t>
  </si>
  <si>
    <t>15.01.26</t>
  </si>
  <si>
    <t>Сварщик (ручной и частично механизированной сварки (наплавки</t>
  </si>
  <si>
    <t>Наладчик литейных машин                        Наладчик формовочных и стержневых машин</t>
  </si>
  <si>
    <t>31.02.01</t>
  </si>
  <si>
    <t>Лечебное дело</t>
  </si>
  <si>
    <t>Фельдшер</t>
  </si>
  <si>
    <t>31.02.02</t>
  </si>
  <si>
    <t>Акушерское дело</t>
  </si>
  <si>
    <t>Акушерка/акушер</t>
  </si>
  <si>
    <t>31.02.03</t>
  </si>
  <si>
    <t>Лабораторная диагностика</t>
  </si>
  <si>
    <t>Медицинский оптик
Оптик-оптометрист</t>
  </si>
  <si>
    <t>31.02.05</t>
  </si>
  <si>
    <t>Стоматология ортопедическая</t>
  </si>
  <si>
    <t>Зубной техник</t>
  </si>
  <si>
    <t>34.00.00</t>
  </si>
  <si>
    <t>СЕСТРИНСКОЕ ДЕЛО</t>
  </si>
  <si>
    <t>34.02.01</t>
  </si>
  <si>
    <t>Сестринское дело</t>
  </si>
  <si>
    <t>Медицинская сестра/Медицинский брат</t>
  </si>
  <si>
    <t>34.02.02</t>
  </si>
  <si>
    <t>Медицинский массаж (для обучения лиц с ограниченными возможностями здоровья по зрению)</t>
  </si>
  <si>
    <t>Медицинская сестра по массажу/Медицинский брат по массажу</t>
  </si>
  <si>
    <t>44.02.01</t>
  </si>
  <si>
    <t>Дошкольное образование</t>
  </si>
  <si>
    <t>Воспитатель детей дошкольного возраста</t>
  </si>
  <si>
    <t>44.02.02</t>
  </si>
  <si>
    <t>Преподавание в начальных классах</t>
  </si>
  <si>
    <t>Учитель начальных классов</t>
  </si>
  <si>
    <t>44.02.03</t>
  </si>
  <si>
    <t>Педагогика дополнительного образования</t>
  </si>
  <si>
    <t>Педагог дополнительного образования (с указанием области деятельности)</t>
  </si>
  <si>
    <t>44.02.04</t>
  </si>
  <si>
    <t>Специальное дошкольное образование</t>
  </si>
  <si>
    <t xml:space="preserve">Воспитатель детей дошкольного возраста с отклонениями в развитии и с сохранным развитием
Воспитатель детей дошкольного возраста с отклонениями в развитии и с сохранным развитием и дополнительной подготовкой (с указанием программы дополнительной подготовки)
</t>
  </si>
  <si>
    <t>44.02.05</t>
  </si>
  <si>
    <t>Коррекционная педагогика в начальном образовании</t>
  </si>
  <si>
    <t>Учитель начальных классов и начальных классов компенсирующего и коррекционно-развивающего образования</t>
  </si>
  <si>
    <t>44.02.06</t>
  </si>
  <si>
    <t>Профессиональное обучение    (по отраслям)</t>
  </si>
  <si>
    <t>Мастер производственного обучения (техник, технолог, конструктор-модельер, дизайнер и др.)</t>
  </si>
  <si>
    <t>49.02.01</t>
  </si>
  <si>
    <t>Учитель физической культуры</t>
  </si>
  <si>
    <t>49.02.02</t>
  </si>
  <si>
    <t>Адаптивная физическая культура</t>
  </si>
  <si>
    <t>Педагог по адаптивной физической культуре и спорту/Учитель адаптивной физической культуры</t>
  </si>
  <si>
    <t>50.02.01</t>
  </si>
  <si>
    <t>Мировая художественная культура</t>
  </si>
  <si>
    <t xml:space="preserve">Специалист в области мировой художественной культуры, преподаватель
Специалист в области мировой художественной культуры, преподаватель, экскурсовод
</t>
  </si>
  <si>
    <t>51.02.01</t>
  </si>
  <si>
    <t>Народное художественное творчество (по видам)</t>
  </si>
  <si>
    <t>Руководитель любительского творческого коллектива, преподаватель</t>
  </si>
  <si>
    <t>51.02.02</t>
  </si>
  <si>
    <t>Социально-культурная деятельность (по видам)</t>
  </si>
  <si>
    <t xml:space="preserve">Организатор социально-культурной деятельности
Менеджер социально-культурной деятельности
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</si>
  <si>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</si>
  <si>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</si>
  <si>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</si>
  <si>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</si>
  <si>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</si>
  <si>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</si>
  <si>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Артист балета ансамбля песни и танца, танцевального коллектива, преподаватель</t>
  </si>
  <si>
    <t>52.02.03</t>
  </si>
  <si>
    <t>Цирковое искусство</t>
  </si>
  <si>
    <t>Артист цирка, преподаватель</t>
  </si>
  <si>
    <t>52.02.04</t>
  </si>
  <si>
    <t>Актер, преподаватель</t>
  </si>
  <si>
    <t>52.02.05</t>
  </si>
  <si>
    <t>Искусство эстрады</t>
  </si>
  <si>
    <t>Артист эстрады, преподаватель</t>
  </si>
  <si>
    <t>53.02.01</t>
  </si>
  <si>
    <t>Музыкальное образование</t>
  </si>
  <si>
    <t>Учитель музыки, музыкальный руководитель</t>
  </si>
  <si>
    <t>53.02.02</t>
  </si>
  <si>
    <t>Музыкальное искусство эстрады (по видам)</t>
  </si>
  <si>
    <t>Артист, преподаватель, руководитель эстрадного коллектива</t>
  </si>
  <si>
    <t>53.02.03</t>
  </si>
  <si>
    <t>Инструментальное исполнительство (по видам инструментов)</t>
  </si>
  <si>
    <t>Артист, преподаватель, концертмейстер) / Артист-инструменталист (концертмейстер), преподаватель</t>
  </si>
  <si>
    <t>53.02.04</t>
  </si>
  <si>
    <t>Артист-вокалист, преподаватель</t>
  </si>
  <si>
    <t>53.02.05</t>
  </si>
  <si>
    <t>Сольное и хоровое народное пение</t>
  </si>
  <si>
    <t>Артист-вокалист, преподаватель, руководитель народного коллектива</t>
  </si>
  <si>
    <t>53.02.06</t>
  </si>
  <si>
    <t>Дирижер хора, преподаватель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</si>
  <si>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</si>
  <si>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</si>
  <si>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</si>
  <si>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Преподаватель, организатор музыкально-просветительской деятельности</t>
  </si>
  <si>
    <t>53.02.08</t>
  </si>
  <si>
    <t>Музыкальное звукооператорское мастерство</t>
  </si>
  <si>
    <t>Специалист звукооператорского мастерства</t>
  </si>
  <si>
    <t>53.02.09</t>
  </si>
  <si>
    <t>Театрально-декорационное искусство (по видам)</t>
  </si>
  <si>
    <t>Художник-технолог                               Специалист по театрально-декорационному искусству</t>
  </si>
  <si>
    <t>54.02.01</t>
  </si>
  <si>
    <t>Дизайн (по отраслям)</t>
  </si>
  <si>
    <t xml:space="preserve">Дизайнер
Дизайнер, преподаватель
</t>
  </si>
  <si>
    <t>54.02.02</t>
  </si>
  <si>
    <t>Декоративно-прикладное искусство и народные промыслы (по видам)</t>
  </si>
  <si>
    <t xml:space="preserve">Художник народных художественных промыслов
Художник-мастер, преподаватель
</t>
  </si>
  <si>
    <t>54.02.06</t>
  </si>
  <si>
    <t>Изобразительное искусство и черчение</t>
  </si>
  <si>
    <t>Учитель изобразительного искусства и черчения</t>
  </si>
  <si>
    <t>54.02.07</t>
  </si>
  <si>
    <t>Художник-скульптор, преподаватель</t>
  </si>
  <si>
    <t>54.02.05</t>
  </si>
  <si>
    <t>Живопись (по видам)</t>
  </si>
  <si>
    <t>Художник-живописец, преподаватель</t>
  </si>
  <si>
    <t>43.02.10</t>
  </si>
  <si>
    <t>Специалист по туризму</t>
  </si>
  <si>
    <t>43.02.14</t>
  </si>
  <si>
    <t>Специалист по гостеприимству</t>
  </si>
  <si>
    <t>35.02.06</t>
  </si>
  <si>
    <t>Технолог.                                           Старший технолог</t>
  </si>
  <si>
    <t>35.02.08</t>
  </si>
  <si>
    <t>Электрификация и автоматизация сельского хозяйства</t>
  </si>
  <si>
    <t>Техник-электрик.                               Старший техник-электрик</t>
  </si>
  <si>
    <t xml:space="preserve">Цветовод
Эфиромасличник
Виноградарь 
Хмелевод
Чаевод Плодоовощевод
</t>
  </si>
  <si>
    <t>39.02.01</t>
  </si>
  <si>
    <t>Специалист по социальной работе</t>
  </si>
  <si>
    <t>54.02.03</t>
  </si>
  <si>
    <t>Художественное оформление изделий текстильной и легкой промышленности</t>
  </si>
  <si>
    <t>Художник-технолог</t>
  </si>
  <si>
    <t>54.02.04</t>
  </si>
  <si>
    <t>Художник-реставратор</t>
  </si>
  <si>
    <t>54.02.08</t>
  </si>
  <si>
    <t>Техника и искусство фотографии</t>
  </si>
  <si>
    <t>Фототехник
Фотохудожник</t>
  </si>
  <si>
    <t>55.02.01</t>
  </si>
  <si>
    <t>Театральная и аудиовизуальная техника (по видам)</t>
  </si>
  <si>
    <t>Техник
Специалист</t>
  </si>
  <si>
    <t>55.02.02</t>
  </si>
  <si>
    <t>Анимация (по видам)</t>
  </si>
  <si>
    <t>Художник-мультипликатор
Художник-декоратор
Художник-мультипликатор
Художник-декоратор</t>
  </si>
  <si>
    <t>11.04.01</t>
  </si>
  <si>
    <t>53.09.01</t>
  </si>
  <si>
    <t>Искусство музыкально-инструментального исполнительства (по видам)</t>
  </si>
  <si>
    <t>Артист высшей квалификации.
Преподаватель творческих дисциплин в высшей школе</t>
  </si>
  <si>
    <t>ПОДГОТОВКИ КАДРОВ ВЫСШЕЙ КВАЛИФИКАЦИИ ПО ПРОГРАММАМ АССИСТЕНТУРЫ-СТАЖИРОВКИ</t>
  </si>
  <si>
    <t>38.04.08</t>
  </si>
  <si>
    <t>Финансы и кредит</t>
  </si>
  <si>
    <t>38.05.01</t>
  </si>
  <si>
    <t>Экономическая безопасность</t>
  </si>
  <si>
    <t>Экономист</t>
  </si>
  <si>
    <t>40.05.01</t>
  </si>
  <si>
    <t>Правовое обеспечение национальной безопасности</t>
  </si>
  <si>
    <t>Юрист</t>
  </si>
  <si>
    <t>35.03.11</t>
  </si>
  <si>
    <t>36.03.01</t>
  </si>
  <si>
    <t>Ветеринарно-санитарная экспертиза</t>
  </si>
  <si>
    <t>36.03.02</t>
  </si>
  <si>
    <t>Зоотехния</t>
  </si>
  <si>
    <t>35.04.03</t>
  </si>
  <si>
    <t>Агрохимия и агропочвоведение</t>
  </si>
  <si>
    <t>35.04.04</t>
  </si>
  <si>
    <t xml:space="preserve">Концертный исполнитель.
Артист ансамбля.
Преподаватель
(Мюзикл, шоу-программы)
</t>
  </si>
  <si>
    <t>Артист ансамбля.
Концертмейстер.
Преподаватель
(Орган)</t>
  </si>
  <si>
    <t>Артист ансамбля.
Артист оркестра.
Преподаватель.
Руководитель творческого коллектива
(Оркестровые струнные инструменты)</t>
  </si>
  <si>
    <t xml:space="preserve">Артист ансамбля.
Артист оркестра.
Преподаватель.
Руководитель творческого коллектива
(Национальные инструменты народов России)
</t>
  </si>
  <si>
    <t>Концертно-камерный певец.
Преподаватель
(Академическое пение)</t>
  </si>
  <si>
    <t xml:space="preserve">Дирижер хора.
Хормейстер.
Артист хора.
Преподаватель
(Певческое хоровое искусство)
</t>
  </si>
  <si>
    <t xml:space="preserve">Музыковед.
Преподаватель.
Лектор
(музыковедение)
</t>
  </si>
  <si>
    <t>Преподаватель.
Музыкальный журналист.
Редактор СМИ
(музыкальная журналистика и редакторская деятельность в СМИ)</t>
  </si>
  <si>
    <t>43.04.02</t>
  </si>
  <si>
    <t>43.04.03</t>
  </si>
  <si>
    <t>40.03.02</t>
  </si>
  <si>
    <t>Обеспечение законности и правопорядка</t>
  </si>
  <si>
    <t>Химик.                               Преподаватель химии.</t>
  </si>
  <si>
    <t>47.00.02</t>
  </si>
  <si>
    <r>
      <rPr>
        <b/>
        <sz val="11"/>
        <rFont val="Times New Roman"/>
        <family val="1"/>
        <charset val="204"/>
      </rPr>
      <t>ПОДГОТОВКАКАДРОВ ВЫСШЕЙ КВАЛИФИКАЦИИ ПО ПРОГРАММАМ ПОДГОТОВКИ НАУЧНО-ПЕДАГОГИЧЕСКИХ КАДРОВ В АСПИРАНТУРЕ</t>
    </r>
    <r>
      <rPr>
        <sz val="11"/>
        <rFont val="Times New Roman"/>
        <family val="1"/>
        <charset val="204"/>
      </rPr>
      <t xml:space="preserve">
</t>
    </r>
  </si>
  <si>
    <t>Наименование профессии, специальности по Перечню</t>
  </si>
  <si>
    <t>ИТОГО: ВПО по Республике Дагестан</t>
  </si>
  <si>
    <t xml:space="preserve">Художник-живописец (станковая живопись). Художник-живописец (монументальная живопись). Художник-живописец (театрально-декорационная живопись). 
</t>
  </si>
  <si>
    <t xml:space="preserve">Художник-график 
Художник-график (искусство графики и плаката).
Художник-график (оформление печатной продукции).
Художник анимации и компьютерной графики.
</t>
  </si>
  <si>
    <t>Художник-скульптор.
Художник-скульптор (реставрация скульптуры)</t>
  </si>
  <si>
    <t>Художник монументально-декоративного искусства (живопись).  Художник-проектировщик интерьера.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</si>
  <si>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</si>
  <si>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№ 2          </t>
  </si>
  <si>
    <t xml:space="preserve">Потребность республиканского рынка труда в специалистах среднего образования различных направлений на 2022-2035 годы </t>
  </si>
  <si>
    <t xml:space="preserve"> Потребность республиканского рынка труда в специалистах с высшим образованием различных направлений на 2022- 2035 годы
                </t>
  </si>
  <si>
    <t>Приборостроение</t>
  </si>
  <si>
    <t>12.03.01</t>
  </si>
  <si>
    <t>Прикладная механика</t>
  </si>
  <si>
    <t>15.03.03</t>
  </si>
  <si>
    <t>Радиофизика</t>
  </si>
  <si>
    <t>03.04.03</t>
  </si>
  <si>
    <t>12.04.01</t>
  </si>
  <si>
    <t>Теплоэнергетика и теплотехника</t>
  </si>
  <si>
    <t>13.04.01</t>
  </si>
  <si>
    <t>13.04.02</t>
  </si>
  <si>
    <t>15.04.05</t>
  </si>
  <si>
    <t>18.04.01</t>
  </si>
  <si>
    <t>Слесарь-инструментальщик</t>
  </si>
  <si>
    <t>Технология изделий легкой промышленности (дизайнер модельер обуви)</t>
  </si>
  <si>
    <t>Конструирование изделий легкой промышленности (заготовщик обуви)</t>
  </si>
  <si>
    <t xml:space="preserve">Контролер радиоэлектронной аппаратуры и приборов
Монтажник радиоэлектронной аппаратуры и приборов
Регулировщик радиоэлектронной аппаратуры и приборов
Слесарь-сборщик радиоэлектронной аппаратуры и приборов
Слесарь-механик по радиоэлектронной аппаратуре
</t>
  </si>
  <si>
    <t>Литейное производство черных и цветных металлов</t>
  </si>
  <si>
    <t>Металловедение и термическая обработка металлов</t>
  </si>
  <si>
    <t>22.02.03</t>
  </si>
  <si>
    <t>22.02.04</t>
  </si>
  <si>
    <t xml:space="preserve">Техник
Специалист по литейному производству
</t>
  </si>
  <si>
    <t xml:space="preserve">Техник
Специалист по термической обработке металлов
</t>
  </si>
  <si>
    <t>Метрология</t>
  </si>
  <si>
    <t>27.02.01</t>
  </si>
  <si>
    <t>40.05.04</t>
  </si>
  <si>
    <t>Судебная и прокурорская деятельность</t>
  </si>
  <si>
    <t>19.00.00</t>
  </si>
  <si>
    <t>ПРОМЫШЛЕННАЯ ЭКОЛОГИЯ И БИОТЕХНОЛОГИИ</t>
  </si>
  <si>
    <t>Технология продукции и организация общественного питания</t>
  </si>
  <si>
    <t>19.03.04</t>
  </si>
  <si>
    <t>Техносферная безопасность</t>
  </si>
  <si>
    <t>20.03.01</t>
  </si>
  <si>
    <t>Природообустройство и водопользование</t>
  </si>
  <si>
    <t>20.03.02</t>
  </si>
  <si>
    <t>43.03.01</t>
  </si>
  <si>
    <t>Сервис</t>
  </si>
  <si>
    <t>Слесарь-электрик по ремонту электрооборудования</t>
  </si>
  <si>
    <t xml:space="preserve">Электромонтер по ремонту и обслуживанию электрооборудования
</t>
  </si>
  <si>
    <t>Кабельщик-спайщик Электромонтер линейных сооружений телефонной связи и радиофикации</t>
  </si>
  <si>
    <t>52.03.03</t>
  </si>
  <si>
    <t>50.04.01</t>
  </si>
  <si>
    <t>50.04.03</t>
  </si>
  <si>
    <t>50.04.04</t>
  </si>
  <si>
    <t>51.04.01</t>
  </si>
  <si>
    <t>51.04.02</t>
  </si>
  <si>
    <t>51.04.03</t>
  </si>
  <si>
    <t>54.04.01</t>
  </si>
  <si>
    <t>54.04.02</t>
  </si>
  <si>
    <t>54.04.03</t>
  </si>
  <si>
    <t>54.04.04</t>
  </si>
  <si>
    <t>54.04.05</t>
  </si>
  <si>
    <t>Библиотекарь</t>
  </si>
  <si>
    <t>Библиотекарь, специалист по информационным ресурсам</t>
  </si>
  <si>
    <t xml:space="preserve">Артист балета                  </t>
  </si>
  <si>
    <t>Артист балета, преподаватель</t>
  </si>
  <si>
    <t>Актер</t>
  </si>
  <si>
    <t>Хоровое дирижирование</t>
  </si>
  <si>
    <t>Живопись с присвоением квалификаций художник-живописец, преподаватель</t>
  </si>
  <si>
    <t xml:space="preserve">Художник-живописец
Художник-живописец, преподаватель
</t>
  </si>
  <si>
    <t xml:space="preserve">Обувщик по индивидуальному пошиву
Обувщик по пошиву ортопедической обуви
Обувщик по ремонту обуви
</t>
  </si>
  <si>
    <t>38.04.03</t>
  </si>
  <si>
    <t>Картография и геоинформатика</t>
  </si>
  <si>
    <t>05.03.03</t>
  </si>
  <si>
    <t>38.03.04</t>
  </si>
  <si>
    <t>Государственное и муниципальное управление</t>
  </si>
  <si>
    <t>18.04.02</t>
  </si>
  <si>
    <t>49.04.02</t>
  </si>
  <si>
    <t>47.04.03</t>
  </si>
  <si>
    <t>48.04.01</t>
  </si>
  <si>
    <t>49.04.03</t>
  </si>
  <si>
    <t>46.02.01</t>
  </si>
  <si>
    <t>Документационное обеспечение управления и архивоведение</t>
  </si>
  <si>
    <t>Специалист по документационному обеспечению управления, архивист</t>
  </si>
  <si>
    <t>05.04.03</t>
  </si>
  <si>
    <t>Архитектура</t>
  </si>
  <si>
    <t>21.04.02</t>
  </si>
  <si>
    <t>21.04.03</t>
  </si>
  <si>
    <t>43.04.01</t>
  </si>
  <si>
    <t>Итого по математических и естественным наукам</t>
  </si>
  <si>
    <t xml:space="preserve">Итого по инженерному делу, технологии и техническим наукам  </t>
  </si>
  <si>
    <t>Итого по сельскому хозяйству и сельскохозяйственным наукам</t>
  </si>
  <si>
    <t>Итого по науке об обществе</t>
  </si>
  <si>
    <t>Итого по образованию и педагогическим наукам</t>
  </si>
  <si>
    <t>Итого по гуманитарным наукам</t>
  </si>
  <si>
    <t>Итого по искусству и культуре</t>
  </si>
  <si>
    <t>ИТОГО: (БАКАЛАВРИАТ)</t>
  </si>
  <si>
    <t>ИТОГО: (МАГИСТРАТУРА)</t>
  </si>
  <si>
    <t>Итого по математическим и естественным наукам</t>
  </si>
  <si>
    <t>ИТОГО: (СПЕЦИАЛИТЕТ)</t>
  </si>
  <si>
    <t>ИТОГО: (АСПИРАНТУРА)</t>
  </si>
  <si>
    <t>ИТОГО: (ОРДИНАТУРА)</t>
  </si>
  <si>
    <t>ИТОГО: (АСПИРАНТУРА-СТАЖИРОВКИ)</t>
  </si>
  <si>
    <t>ИТОГО по профессиям СПО</t>
  </si>
  <si>
    <t>Итого по здравоохранению</t>
  </si>
  <si>
    <t>ИТОГО по специальностям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</si>
</sst>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u/>
      <sz val="12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u/>
      <sz val="11"/>
      <name val="Times New Roman"/>
      <family val="1"/>
      <charset val="204"/>
    </font>
    <font>
      <b/>
      <i/>
      <u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5">
    <xf numFmtId="0" fontId="0" fillId="0" borderId="0" xfId="0"/>
    <xf numFmtId="0" fontId="13" fillId="0" borderId="0" xfId="0" applyFont="1"/>
    <xf numFmtId="0" fontId="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13" fillId="0" borderId="0" xfId="0" applyFont="1" applyAlignment="1"/>
    <xf numFmtId="0" fontId="18" fillId="0" borderId="0" xfId="0" applyFont="1"/>
    <xf numFmtId="0" fontId="17" fillId="0" borderId="0" xfId="0" applyFont="1" applyAlignment="1">
      <alignment horizontal="left"/>
    </xf>
    <xf numFmtId="0" fontId="0" fillId="5" borderId="0" xfId="0" applyFill="1"/>
    <xf numFmtId="0" fontId="2" fillId="0" borderId="1" xfId="0" applyFont="1" applyFill="1" applyBorder="1" applyAlignment="1">
      <alignment horizontal="left" vertical="top" wrapText="1"/>
    </xf>
    <xf numFmtId="0" fontId="13" fillId="0" borderId="0" xfId="0" applyFont="1" applyFill="1"/>
    <xf numFmtId="0" fontId="11" fillId="7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9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14" fontId="5" fillId="5" borderId="1" xfId="0" applyNumberFormat="1" applyFont="1" applyFill="1" applyBorder="1" applyAlignment="1">
      <alignment horizontal="center" vertical="top" wrapText="1"/>
    </xf>
    <xf numFmtId="2" fontId="5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center" vertical="top" wrapText="1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6" fillId="0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9" fillId="0" borderId="0" xfId="0" applyFont="1"/>
    <xf numFmtId="0" fontId="30" fillId="0" borderId="0" xfId="0" applyFont="1" applyAlignment="1">
      <alignment horizontal="left"/>
    </xf>
    <xf numFmtId="43" fontId="12" fillId="0" borderId="1" xfId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center" vertical="top" wrapText="1"/>
    </xf>
    <xf numFmtId="0" fontId="2" fillId="5" borderId="5" xfId="0" applyNumberFormat="1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5" borderId="1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0" fontId="2" fillId="7" borderId="1" xfId="0" applyNumberFormat="1" applyFont="1" applyFill="1" applyBorder="1" applyAlignment="1">
      <alignment horizontal="center" vertical="top" wrapText="1"/>
    </xf>
    <xf numFmtId="49" fontId="6" fillId="7" borderId="1" xfId="0" applyNumberFormat="1" applyFont="1" applyFill="1" applyBorder="1" applyAlignment="1">
      <alignment horizontal="center" vertical="top" wrapText="1"/>
    </xf>
    <xf numFmtId="49" fontId="28" fillId="7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5" fillId="7" borderId="1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/>
    </xf>
    <xf numFmtId="49" fontId="11" fillId="2" borderId="1" xfId="0" applyNumberFormat="1" applyFont="1" applyFill="1" applyBorder="1" applyAlignment="1">
      <alignment horizontal="left" vertical="top"/>
    </xf>
    <xf numFmtId="0" fontId="11" fillId="2" borderId="12" xfId="0" applyFont="1" applyFill="1" applyBorder="1" applyAlignment="1">
      <alignment horizontal="center" vertical="top" wrapText="1"/>
    </xf>
    <xf numFmtId="0" fontId="11" fillId="7" borderId="12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7" borderId="1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/>
    </xf>
    <xf numFmtId="0" fontId="11" fillId="5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0" fontId="12" fillId="7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horizontal="left" vertical="top" wrapText="1"/>
    </xf>
    <xf numFmtId="49" fontId="2" fillId="5" borderId="7" xfId="0" applyNumberFormat="1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1" fontId="31" fillId="2" borderId="4" xfId="0" applyNumberFormat="1" applyFont="1" applyFill="1" applyBorder="1" applyAlignment="1">
      <alignment horizontal="left" vertical="top" wrapText="1"/>
    </xf>
    <xf numFmtId="0" fontId="32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19" fillId="5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19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14" fontId="5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14" fontId="6" fillId="0" borderId="4" xfId="0" applyNumberFormat="1" applyFont="1" applyFill="1" applyBorder="1" applyAlignment="1">
      <alignment horizontal="left" vertical="top" wrapText="1"/>
    </xf>
    <xf numFmtId="0" fontId="21" fillId="0" borderId="0" xfId="0" applyFont="1" applyFill="1" applyAlignment="1">
      <alignment vertical="top"/>
    </xf>
    <xf numFmtId="0" fontId="21" fillId="0" borderId="0" xfId="0" applyFont="1" applyFill="1" applyBorder="1" applyAlignment="1">
      <alignment vertical="top"/>
    </xf>
    <xf numFmtId="0" fontId="19" fillId="0" borderId="2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2" fillId="0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/>
    </xf>
    <xf numFmtId="0" fontId="25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3" fillId="0" borderId="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top"/>
    </xf>
    <xf numFmtId="0" fontId="8" fillId="5" borderId="0" xfId="0" applyFont="1" applyFill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5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5" borderId="0" xfId="0" applyFont="1" applyFill="1" applyAlignment="1">
      <alignment vertical="top"/>
    </xf>
    <xf numFmtId="0" fontId="0" fillId="5" borderId="0" xfId="0" applyFill="1" applyAlignment="1">
      <alignment vertical="top"/>
    </xf>
    <xf numFmtId="0" fontId="20" fillId="0" borderId="4" xfId="0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33" fillId="0" borderId="0" xfId="0" applyFont="1" applyFill="1" applyAlignment="1">
      <alignment vertical="top"/>
    </xf>
    <xf numFmtId="0" fontId="2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14" fontId="6" fillId="0" borderId="2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23" fillId="0" borderId="4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/>
    </xf>
    <xf numFmtId="0" fontId="6" fillId="0" borderId="9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14" fontId="5" fillId="0" borderId="2" xfId="0" applyNumberFormat="1" applyFont="1" applyFill="1" applyBorder="1" applyAlignment="1">
      <alignment horizontal="left" vertical="top" wrapText="1"/>
    </xf>
    <xf numFmtId="14" fontId="5" fillId="0" borderId="3" xfId="0" applyNumberFormat="1" applyFont="1" applyFill="1" applyBorder="1" applyAlignment="1">
      <alignment horizontal="left" vertical="top" wrapText="1"/>
    </xf>
    <xf numFmtId="14" fontId="5" fillId="0" borderId="4" xfId="0" applyNumberFormat="1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20" fillId="8" borderId="2" xfId="0" applyFont="1" applyFill="1" applyBorder="1" applyAlignment="1">
      <alignment horizontal="left" vertical="top" wrapText="1"/>
    </xf>
    <xf numFmtId="0" fontId="20" fillId="8" borderId="3" xfId="0" applyFont="1" applyFill="1" applyBorder="1" applyAlignment="1">
      <alignment horizontal="left" vertical="top" wrapText="1"/>
    </xf>
    <xf numFmtId="0" fontId="20" fillId="8" borderId="4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49" fontId="2" fillId="5" borderId="5" xfId="0" applyNumberFormat="1" applyFont="1" applyFill="1" applyBorder="1" applyAlignment="1">
      <alignment horizontal="left" vertical="top" wrapText="1"/>
    </xf>
    <xf numFmtId="49" fontId="2" fillId="5" borderId="6" xfId="0" applyNumberFormat="1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49" fontId="2" fillId="5" borderId="7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49" fontId="2" fillId="2" borderId="6" xfId="0" applyNumberFormat="1" applyFont="1" applyFill="1" applyBorder="1" applyAlignment="1">
      <alignment horizontal="left" vertical="top" wrapText="1"/>
    </xf>
    <xf numFmtId="14" fontId="2" fillId="5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14" fontId="11" fillId="2" borderId="1" xfId="0" applyNumberFormat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1" fillId="2" borderId="2" xfId="0" applyFont="1" applyFill="1" applyBorder="1" applyAlignment="1">
      <alignment horizontal="left" vertical="top"/>
    </xf>
    <xf numFmtId="0" fontId="31" fillId="2" borderId="3" xfId="0" applyFont="1" applyFill="1" applyBorder="1" applyAlignment="1">
      <alignment horizontal="left" vertical="top"/>
    </xf>
    <xf numFmtId="0" fontId="31" fillId="2" borderId="4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49" fontId="22" fillId="2" borderId="2" xfId="0" applyNumberFormat="1" applyFont="1" applyFill="1" applyBorder="1" applyAlignment="1">
      <alignment horizontal="left" vertical="top" wrapText="1"/>
    </xf>
    <xf numFmtId="49" fontId="22" fillId="2" borderId="3" xfId="0" applyNumberFormat="1" applyFont="1" applyFill="1" applyBorder="1" applyAlignment="1">
      <alignment horizontal="left" vertical="top" wrapText="1"/>
    </xf>
    <xf numFmtId="49" fontId="22" fillId="2" borderId="4" xfId="0" applyNumberFormat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/>
    </xf>
    <xf numFmtId="0" fontId="31" fillId="0" borderId="2" xfId="0" applyFont="1" applyFill="1" applyBorder="1" applyAlignment="1">
      <alignment horizontal="left" vertical="top" wrapText="1"/>
    </xf>
    <xf numFmtId="0" fontId="31" fillId="0" borderId="4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70"/>
  <sheetViews>
    <sheetView showWhiteSpace="0" view="pageBreakPreview" topLeftCell="A328" zoomScaleNormal="100" zoomScaleSheetLayoutView="100" workbookViewId="0">
      <selection activeCell="M461" sqref="M461"/>
    </sheetView>
  </sheetViews>
  <sheetFormatPr defaultRowHeight="15" x14ac:dyDescent="0.25"/>
  <cols>
    <col min="1" max="1" width="11.5703125" style="8" customWidth="1"/>
    <col min="2" max="2" width="51.7109375" style="186" customWidth="1"/>
    <col min="3" max="3" width="27.42578125" style="8" customWidth="1"/>
    <col min="4" max="4" width="8.28515625" style="186" customWidth="1"/>
    <col min="5" max="5" width="8.7109375" style="186" customWidth="1"/>
    <col min="6" max="6" width="8.42578125" style="186" customWidth="1"/>
    <col min="7" max="7" width="8.28515625" style="240" customWidth="1"/>
    <col min="8" max="8" width="8.140625" style="240" customWidth="1"/>
    <col min="9" max="9" width="7.5703125" style="240" customWidth="1"/>
    <col min="10" max="10" width="8.140625" style="186" customWidth="1"/>
    <col min="11" max="11" width="8.85546875" style="186" customWidth="1"/>
    <col min="12" max="16" width="9.7109375" style="186" customWidth="1"/>
    <col min="17" max="17" width="9.5703125" style="186" customWidth="1"/>
    <col min="18" max="18" width="6.85546875" style="186" customWidth="1"/>
    <col min="19" max="19" width="4.140625" style="186" customWidth="1"/>
    <col min="20" max="20" width="4.85546875" style="186" customWidth="1"/>
    <col min="21" max="21" width="7.140625" style="186" customWidth="1"/>
    <col min="22" max="16384" width="9.140625" style="186"/>
  </cols>
  <sheetData>
    <row r="1" spans="1:23" ht="27" customHeight="1" x14ac:dyDescent="0.25">
      <c r="A1" s="2"/>
      <c r="B1" s="2"/>
      <c r="C1" s="2"/>
      <c r="D1" s="2"/>
      <c r="E1" s="2"/>
      <c r="F1" s="2"/>
      <c r="G1" s="184"/>
      <c r="H1" s="184"/>
      <c r="I1" s="184"/>
      <c r="J1" s="2"/>
      <c r="K1" s="2"/>
      <c r="L1" s="2"/>
      <c r="M1" s="2"/>
      <c r="N1" s="2"/>
      <c r="O1" s="2"/>
      <c r="P1" s="285" t="s">
        <v>1108</v>
      </c>
      <c r="Q1" s="285"/>
    </row>
    <row r="2" spans="1:23" ht="18.75" customHeight="1" x14ac:dyDescent="0.25">
      <c r="A2" s="294" t="s">
        <v>1111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23" ht="37.5" customHeight="1" x14ac:dyDescent="0.25">
      <c r="A3" s="292" t="s">
        <v>5</v>
      </c>
      <c r="B3" s="292" t="s">
        <v>1102</v>
      </c>
      <c r="C3" s="292" t="s">
        <v>0</v>
      </c>
      <c r="D3" s="298" t="s">
        <v>894</v>
      </c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300"/>
    </row>
    <row r="4" spans="1:23" ht="18.75" customHeight="1" x14ac:dyDescent="0.25">
      <c r="A4" s="293"/>
      <c r="B4" s="293"/>
      <c r="C4" s="293"/>
      <c r="D4" s="19">
        <v>2022</v>
      </c>
      <c r="E4" s="19">
        <v>2023</v>
      </c>
      <c r="F4" s="19">
        <v>2024</v>
      </c>
      <c r="G4" s="185">
        <v>2025</v>
      </c>
      <c r="H4" s="185">
        <v>2026</v>
      </c>
      <c r="I4" s="185">
        <v>2027</v>
      </c>
      <c r="J4" s="19">
        <v>2028</v>
      </c>
      <c r="K4" s="19">
        <v>2029</v>
      </c>
      <c r="L4" s="19">
        <v>2030</v>
      </c>
      <c r="M4" s="19">
        <v>2031</v>
      </c>
      <c r="N4" s="19">
        <v>2032</v>
      </c>
      <c r="O4" s="19">
        <v>2033</v>
      </c>
      <c r="P4" s="19">
        <v>2034</v>
      </c>
      <c r="Q4" s="19">
        <v>2035</v>
      </c>
    </row>
    <row r="5" spans="1:23" x14ac:dyDescent="0.25">
      <c r="A5" s="187">
        <v>1</v>
      </c>
      <c r="B5" s="187">
        <v>2</v>
      </c>
      <c r="C5" s="187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19">
        <v>12</v>
      </c>
      <c r="M5" s="19">
        <v>13</v>
      </c>
      <c r="N5" s="19">
        <v>14</v>
      </c>
      <c r="O5" s="19">
        <v>15</v>
      </c>
      <c r="P5" s="19">
        <v>16</v>
      </c>
      <c r="Q5" s="19">
        <v>17</v>
      </c>
    </row>
    <row r="6" spans="1:23" x14ac:dyDescent="0.25">
      <c r="A6" s="295" t="s">
        <v>48</v>
      </c>
      <c r="B6" s="296"/>
      <c r="C6" s="297"/>
      <c r="D6" s="241"/>
      <c r="E6" s="241"/>
      <c r="F6" s="241"/>
      <c r="G6" s="242"/>
      <c r="H6" s="242"/>
      <c r="I6" s="242"/>
      <c r="J6" s="241"/>
      <c r="K6" s="241"/>
      <c r="L6" s="241"/>
      <c r="M6" s="241"/>
      <c r="N6" s="241"/>
      <c r="O6" s="241"/>
      <c r="P6" s="241"/>
      <c r="Q6" s="241"/>
      <c r="T6" s="188"/>
      <c r="U6" s="188"/>
      <c r="V6" s="188"/>
      <c r="W6" s="188"/>
    </row>
    <row r="7" spans="1:23" x14ac:dyDescent="0.25">
      <c r="A7" s="301" t="s">
        <v>317</v>
      </c>
      <c r="B7" s="302"/>
      <c r="C7" s="189"/>
      <c r="D7" s="22"/>
      <c r="E7" s="22"/>
      <c r="F7" s="22"/>
      <c r="G7" s="44"/>
      <c r="H7" s="44"/>
      <c r="I7" s="44"/>
      <c r="J7" s="22"/>
      <c r="K7" s="22"/>
      <c r="L7" s="22"/>
      <c r="M7" s="22"/>
      <c r="N7" s="22"/>
      <c r="O7" s="22"/>
      <c r="P7" s="22"/>
      <c r="Q7" s="20"/>
      <c r="T7" s="188"/>
      <c r="U7" s="188"/>
      <c r="V7" s="188"/>
      <c r="W7" s="188"/>
    </row>
    <row r="8" spans="1:23" x14ac:dyDescent="0.25">
      <c r="A8" s="14" t="s">
        <v>394</v>
      </c>
      <c r="B8" s="14" t="s">
        <v>395</v>
      </c>
      <c r="C8" s="14"/>
      <c r="D8" s="22"/>
      <c r="E8" s="22"/>
      <c r="F8" s="22"/>
      <c r="G8" s="44"/>
      <c r="H8" s="44"/>
      <c r="I8" s="44"/>
      <c r="J8" s="22"/>
      <c r="K8" s="22"/>
      <c r="L8" s="22"/>
      <c r="M8" s="22"/>
      <c r="N8" s="22"/>
      <c r="O8" s="22"/>
      <c r="P8" s="22"/>
      <c r="Q8" s="21"/>
      <c r="T8" s="188"/>
      <c r="U8" s="188"/>
      <c r="V8" s="188"/>
      <c r="W8" s="188"/>
    </row>
    <row r="9" spans="1:23" x14ac:dyDescent="0.25">
      <c r="A9" s="23" t="s">
        <v>408</v>
      </c>
      <c r="B9" s="14" t="s">
        <v>407</v>
      </c>
      <c r="C9" s="14" t="s">
        <v>282</v>
      </c>
      <c r="D9" s="20"/>
      <c r="E9" s="97"/>
      <c r="F9" s="97"/>
      <c r="G9" s="95">
        <f>1</f>
        <v>1</v>
      </c>
      <c r="H9" s="95"/>
      <c r="I9" s="95"/>
      <c r="J9" s="97">
        <f>1</f>
        <v>1</v>
      </c>
      <c r="K9" s="97"/>
      <c r="L9" s="97"/>
      <c r="M9" s="97"/>
      <c r="N9" s="97">
        <f>1</f>
        <v>1</v>
      </c>
      <c r="O9" s="97"/>
      <c r="P9" s="97">
        <f>1</f>
        <v>1</v>
      </c>
      <c r="Q9" s="97"/>
      <c r="T9" s="188"/>
      <c r="U9" s="188"/>
      <c r="V9" s="188"/>
      <c r="W9" s="188"/>
    </row>
    <row r="10" spans="1:23" x14ac:dyDescent="0.25">
      <c r="A10" s="23" t="s">
        <v>385</v>
      </c>
      <c r="B10" s="14" t="s">
        <v>384</v>
      </c>
      <c r="C10" s="14" t="s">
        <v>282</v>
      </c>
      <c r="D10" s="21">
        <f>7</f>
        <v>7</v>
      </c>
      <c r="E10" s="21">
        <f>8</f>
        <v>8</v>
      </c>
      <c r="F10" s="21">
        <f>8</f>
        <v>8</v>
      </c>
      <c r="G10" s="43">
        <f>7</f>
        <v>7</v>
      </c>
      <c r="H10" s="43">
        <f>7</f>
        <v>7</v>
      </c>
      <c r="I10" s="43">
        <f>5</f>
        <v>5</v>
      </c>
      <c r="J10" s="21">
        <f>5</f>
        <v>5</v>
      </c>
      <c r="K10" s="21">
        <f>6</f>
        <v>6</v>
      </c>
      <c r="L10" s="21">
        <f>5</f>
        <v>5</v>
      </c>
      <c r="M10" s="21">
        <f>2</f>
        <v>2</v>
      </c>
      <c r="N10" s="21">
        <f>2</f>
        <v>2</v>
      </c>
      <c r="O10" s="21">
        <f>3</f>
        <v>3</v>
      </c>
      <c r="P10" s="21">
        <f>2</f>
        <v>2</v>
      </c>
      <c r="Q10" s="21">
        <f>2</f>
        <v>2</v>
      </c>
      <c r="T10" s="188"/>
      <c r="U10" s="188"/>
      <c r="V10" s="188"/>
      <c r="W10" s="188"/>
    </row>
    <row r="11" spans="1:23" x14ac:dyDescent="0.25">
      <c r="A11" s="14" t="s">
        <v>388</v>
      </c>
      <c r="B11" s="270" t="s">
        <v>389</v>
      </c>
      <c r="C11" s="271"/>
      <c r="D11" s="22"/>
      <c r="E11" s="22"/>
      <c r="F11" s="22"/>
      <c r="G11" s="44"/>
      <c r="H11" s="44"/>
      <c r="I11" s="44"/>
      <c r="J11" s="22"/>
      <c r="K11" s="22"/>
      <c r="L11" s="22"/>
      <c r="M11" s="22"/>
      <c r="N11" s="22"/>
      <c r="O11" s="22"/>
      <c r="P11" s="22"/>
      <c r="Q11" s="20"/>
      <c r="T11" s="188"/>
      <c r="U11" s="188"/>
      <c r="V11" s="188"/>
      <c r="W11" s="188"/>
    </row>
    <row r="12" spans="1:23" x14ac:dyDescent="0.25">
      <c r="A12" s="23" t="s">
        <v>387</v>
      </c>
      <c r="B12" s="14" t="s">
        <v>386</v>
      </c>
      <c r="C12" s="35" t="s">
        <v>282</v>
      </c>
      <c r="D12" s="21">
        <f>8</f>
        <v>8</v>
      </c>
      <c r="E12" s="21">
        <f>8</f>
        <v>8</v>
      </c>
      <c r="F12" s="21">
        <f>8</f>
        <v>8</v>
      </c>
      <c r="G12" s="43">
        <f>7</f>
        <v>7</v>
      </c>
      <c r="H12" s="43">
        <f>4</f>
        <v>4</v>
      </c>
      <c r="I12" s="43">
        <f>4</f>
        <v>4</v>
      </c>
      <c r="J12" s="43">
        <f>4</f>
        <v>4</v>
      </c>
      <c r="K12" s="43">
        <f>4</f>
        <v>4</v>
      </c>
      <c r="L12" s="43">
        <f>4</f>
        <v>4</v>
      </c>
      <c r="M12" s="43">
        <f>4</f>
        <v>4</v>
      </c>
      <c r="N12" s="43">
        <f>4</f>
        <v>4</v>
      </c>
      <c r="O12" s="43">
        <f>4</f>
        <v>4</v>
      </c>
      <c r="P12" s="43">
        <f>4</f>
        <v>4</v>
      </c>
      <c r="Q12" s="43">
        <f>4</f>
        <v>4</v>
      </c>
      <c r="T12" s="188"/>
      <c r="U12" s="188"/>
      <c r="V12" s="188"/>
      <c r="W12" s="188"/>
    </row>
    <row r="13" spans="1:23" ht="17.25" customHeight="1" x14ac:dyDescent="0.25">
      <c r="A13" s="23" t="s">
        <v>391</v>
      </c>
      <c r="B13" s="14" t="s">
        <v>390</v>
      </c>
      <c r="C13" s="35" t="s">
        <v>282</v>
      </c>
      <c r="D13" s="21">
        <f>2+5</f>
        <v>7</v>
      </c>
      <c r="E13" s="21">
        <f>3+5+3</f>
        <v>11</v>
      </c>
      <c r="F13" s="21">
        <f>3+3+3</f>
        <v>9</v>
      </c>
      <c r="G13" s="21">
        <f>3+3+1</f>
        <v>7</v>
      </c>
      <c r="H13" s="21">
        <f>3+4+1</f>
        <v>8</v>
      </c>
      <c r="I13" s="43">
        <f>4+5+1</f>
        <v>10</v>
      </c>
      <c r="J13" s="21">
        <f>2+3+1</f>
        <v>6</v>
      </c>
      <c r="K13" s="21">
        <f>3+4+1</f>
        <v>8</v>
      </c>
      <c r="L13" s="21">
        <f>4+4+1</f>
        <v>9</v>
      </c>
      <c r="M13" s="21">
        <f>2+2+1</f>
        <v>5</v>
      </c>
      <c r="N13" s="21">
        <f>3+3+1</f>
        <v>7</v>
      </c>
      <c r="O13" s="21">
        <f>5+6+1</f>
        <v>12</v>
      </c>
      <c r="P13" s="43">
        <f>4+4+1</f>
        <v>9</v>
      </c>
      <c r="Q13" s="43">
        <f>4+4+1</f>
        <v>9</v>
      </c>
      <c r="T13" s="188"/>
      <c r="U13" s="188"/>
      <c r="V13" s="188"/>
      <c r="W13" s="188"/>
    </row>
    <row r="14" spans="1:23" ht="30" customHeight="1" x14ac:dyDescent="0.25">
      <c r="A14" s="23" t="s">
        <v>393</v>
      </c>
      <c r="B14" s="14" t="s">
        <v>392</v>
      </c>
      <c r="C14" s="35" t="s">
        <v>282</v>
      </c>
      <c r="D14" s="21">
        <f>7</f>
        <v>7</v>
      </c>
      <c r="E14" s="21">
        <f>9</f>
        <v>9</v>
      </c>
      <c r="F14" s="21">
        <f>12</f>
        <v>12</v>
      </c>
      <c r="G14" s="43">
        <f>13</f>
        <v>13</v>
      </c>
      <c r="H14" s="43">
        <f>13</f>
        <v>13</v>
      </c>
      <c r="I14" s="43">
        <f>15</f>
        <v>15</v>
      </c>
      <c r="J14" s="43">
        <f>15</f>
        <v>15</v>
      </c>
      <c r="K14" s="43">
        <f>15</f>
        <v>15</v>
      </c>
      <c r="L14" s="21">
        <f>17</f>
        <v>17</v>
      </c>
      <c r="M14" s="21">
        <f>20</f>
        <v>20</v>
      </c>
      <c r="N14" s="21">
        <f>22</f>
        <v>22</v>
      </c>
      <c r="O14" s="21">
        <f>25</f>
        <v>25</v>
      </c>
      <c r="P14" s="21">
        <f>27</f>
        <v>27</v>
      </c>
      <c r="Q14" s="20">
        <f>30</f>
        <v>30</v>
      </c>
      <c r="T14" s="188"/>
      <c r="U14" s="188"/>
      <c r="V14" s="188"/>
      <c r="W14" s="188"/>
    </row>
    <row r="15" spans="1:23" ht="13.5" customHeight="1" x14ac:dyDescent="0.25">
      <c r="A15" s="23" t="s">
        <v>409</v>
      </c>
      <c r="B15" s="14" t="s">
        <v>410</v>
      </c>
      <c r="C15" s="35"/>
      <c r="D15" s="21"/>
      <c r="E15" s="21"/>
      <c r="F15" s="21"/>
      <c r="G15" s="43"/>
      <c r="H15" s="43"/>
      <c r="I15" s="43"/>
      <c r="J15" s="21"/>
      <c r="K15" s="21"/>
      <c r="L15" s="21"/>
      <c r="M15" s="21"/>
      <c r="N15" s="21"/>
      <c r="O15" s="21"/>
      <c r="P15" s="21"/>
      <c r="Q15" s="20"/>
      <c r="T15" s="188"/>
      <c r="U15" s="188"/>
      <c r="V15" s="188"/>
      <c r="W15" s="188"/>
    </row>
    <row r="16" spans="1:23" ht="14.25" customHeight="1" x14ac:dyDescent="0.25">
      <c r="A16" s="23" t="s">
        <v>411</v>
      </c>
      <c r="B16" s="14" t="s">
        <v>412</v>
      </c>
      <c r="C16" s="35" t="s">
        <v>282</v>
      </c>
      <c r="D16" s="145">
        <f>13</f>
        <v>13</v>
      </c>
      <c r="E16" s="145">
        <f>13</f>
        <v>13</v>
      </c>
      <c r="F16" s="145">
        <f>15</f>
        <v>15</v>
      </c>
      <c r="G16" s="180">
        <f>17</f>
        <v>17</v>
      </c>
      <c r="H16" s="180">
        <f>17</f>
        <v>17</v>
      </c>
      <c r="I16" s="180">
        <f>20</f>
        <v>20</v>
      </c>
      <c r="J16" s="145">
        <f>20</f>
        <v>20</v>
      </c>
      <c r="K16" s="145">
        <f>23</f>
        <v>23</v>
      </c>
      <c r="L16" s="181">
        <f>25</f>
        <v>25</v>
      </c>
      <c r="M16" s="181">
        <f>25</f>
        <v>25</v>
      </c>
      <c r="N16" s="181">
        <f>25</f>
        <v>25</v>
      </c>
      <c r="O16" s="181">
        <f>25</f>
        <v>25</v>
      </c>
      <c r="P16" s="181">
        <f>25</f>
        <v>25</v>
      </c>
      <c r="Q16" s="181">
        <f>25</f>
        <v>25</v>
      </c>
      <c r="T16" s="188"/>
      <c r="U16" s="188"/>
      <c r="V16" s="188"/>
      <c r="W16" s="188"/>
    </row>
    <row r="17" spans="1:23" ht="15" customHeight="1" x14ac:dyDescent="0.25">
      <c r="A17" s="14" t="s">
        <v>318</v>
      </c>
      <c r="B17" s="14" t="s">
        <v>319</v>
      </c>
      <c r="C17" s="14"/>
      <c r="D17" s="21"/>
      <c r="E17" s="21"/>
      <c r="F17" s="21"/>
      <c r="G17" s="43"/>
      <c r="H17" s="43"/>
      <c r="I17" s="43"/>
      <c r="J17" s="21"/>
      <c r="K17" s="21"/>
      <c r="L17" s="21"/>
      <c r="M17" s="21"/>
      <c r="N17" s="21"/>
      <c r="O17" s="21"/>
      <c r="P17" s="21"/>
      <c r="Q17" s="20"/>
      <c r="T17" s="188"/>
      <c r="U17" s="188"/>
      <c r="V17" s="188"/>
      <c r="W17" s="188"/>
    </row>
    <row r="18" spans="1:23" x14ac:dyDescent="0.25">
      <c r="A18" s="14" t="s">
        <v>322</v>
      </c>
      <c r="B18" s="14" t="s">
        <v>320</v>
      </c>
      <c r="C18" s="14" t="s">
        <v>282</v>
      </c>
      <c r="D18" s="21">
        <f>3+9</f>
        <v>12</v>
      </c>
      <c r="E18" s="21">
        <f>3+9</f>
        <v>12</v>
      </c>
      <c r="F18" s="21">
        <f>3+12</f>
        <v>15</v>
      </c>
      <c r="G18" s="21">
        <f t="shared" ref="G18:H18" si="0">3+12</f>
        <v>15</v>
      </c>
      <c r="H18" s="21">
        <f t="shared" si="0"/>
        <v>15</v>
      </c>
      <c r="I18" s="21">
        <f>3+15</f>
        <v>18</v>
      </c>
      <c r="J18" s="21">
        <f>3+15</f>
        <v>18</v>
      </c>
      <c r="K18" s="21">
        <f>3+20</f>
        <v>23</v>
      </c>
      <c r="L18" s="21">
        <f t="shared" ref="L18:M18" si="1">3+20</f>
        <v>23</v>
      </c>
      <c r="M18" s="21">
        <f t="shared" si="1"/>
        <v>23</v>
      </c>
      <c r="N18" s="21">
        <f>3+23</f>
        <v>26</v>
      </c>
      <c r="O18" s="21">
        <f>3+23</f>
        <v>26</v>
      </c>
      <c r="P18" s="21">
        <f>3+25</f>
        <v>28</v>
      </c>
      <c r="Q18" s="21">
        <f>3+25</f>
        <v>28</v>
      </c>
      <c r="T18" s="188"/>
      <c r="U18" s="188"/>
      <c r="V18" s="188"/>
      <c r="W18" s="188"/>
    </row>
    <row r="19" spans="1:23" x14ac:dyDescent="0.25">
      <c r="A19" s="14" t="s">
        <v>323</v>
      </c>
      <c r="B19" s="14" t="s">
        <v>321</v>
      </c>
      <c r="C19" s="14" t="s">
        <v>282</v>
      </c>
      <c r="D19" s="21">
        <f>2</f>
        <v>2</v>
      </c>
      <c r="E19" s="21">
        <f>2</f>
        <v>2</v>
      </c>
      <c r="F19" s="21">
        <f>2</f>
        <v>2</v>
      </c>
      <c r="G19" s="21">
        <f>2</f>
        <v>2</v>
      </c>
      <c r="H19" s="21">
        <f>2</f>
        <v>2</v>
      </c>
      <c r="I19" s="21">
        <f>2</f>
        <v>2</v>
      </c>
      <c r="J19" s="21">
        <f>2</f>
        <v>2</v>
      </c>
      <c r="K19" s="21">
        <f>2</f>
        <v>2</v>
      </c>
      <c r="L19" s="21">
        <f>2</f>
        <v>2</v>
      </c>
      <c r="M19" s="21">
        <f>2</f>
        <v>2</v>
      </c>
      <c r="N19" s="21">
        <f>2</f>
        <v>2</v>
      </c>
      <c r="O19" s="21">
        <f>2</f>
        <v>2</v>
      </c>
      <c r="P19" s="21">
        <f>2</f>
        <v>2</v>
      </c>
      <c r="Q19" s="21">
        <f>2</f>
        <v>2</v>
      </c>
      <c r="T19" s="188"/>
      <c r="U19" s="188"/>
      <c r="V19" s="188"/>
      <c r="W19" s="188"/>
    </row>
    <row r="20" spans="1:23" x14ac:dyDescent="0.25">
      <c r="A20" s="14" t="s">
        <v>403</v>
      </c>
      <c r="B20" s="14" t="s">
        <v>404</v>
      </c>
      <c r="C20" s="55"/>
      <c r="D20" s="21"/>
      <c r="E20" s="21"/>
      <c r="F20" s="21"/>
      <c r="G20" s="43"/>
      <c r="H20" s="43"/>
      <c r="I20" s="43"/>
      <c r="J20" s="21"/>
      <c r="K20" s="21"/>
      <c r="L20" s="21"/>
      <c r="M20" s="21"/>
      <c r="N20" s="21"/>
      <c r="O20" s="21"/>
      <c r="P20" s="21"/>
      <c r="Q20" s="21"/>
      <c r="T20" s="188"/>
      <c r="U20" s="188"/>
      <c r="V20" s="188"/>
      <c r="W20" s="188"/>
    </row>
    <row r="21" spans="1:23" x14ac:dyDescent="0.25">
      <c r="A21" s="23" t="s">
        <v>414</v>
      </c>
      <c r="B21" s="23" t="s">
        <v>413</v>
      </c>
      <c r="C21" s="57" t="s">
        <v>282</v>
      </c>
      <c r="D21" s="21">
        <f>6</f>
        <v>6</v>
      </c>
      <c r="E21" s="21">
        <f>8</f>
        <v>8</v>
      </c>
      <c r="F21" s="21">
        <f>8</f>
        <v>8</v>
      </c>
      <c r="G21" s="43">
        <f>12</f>
        <v>12</v>
      </c>
      <c r="H21" s="43">
        <f>12</f>
        <v>12</v>
      </c>
      <c r="I21" s="43">
        <f>12</f>
        <v>12</v>
      </c>
      <c r="J21" s="21">
        <f>15</f>
        <v>15</v>
      </c>
      <c r="K21" s="21">
        <f>15</f>
        <v>15</v>
      </c>
      <c r="L21" s="21">
        <f>18</f>
        <v>18</v>
      </c>
      <c r="M21" s="21">
        <f>18</f>
        <v>18</v>
      </c>
      <c r="N21" s="21">
        <f>18</f>
        <v>18</v>
      </c>
      <c r="O21" s="21">
        <f>20</f>
        <v>20</v>
      </c>
      <c r="P21" s="21">
        <f>20</f>
        <v>20</v>
      </c>
      <c r="Q21" s="21">
        <f>20</f>
        <v>20</v>
      </c>
      <c r="T21" s="188"/>
      <c r="U21" s="188"/>
      <c r="V21" s="188"/>
      <c r="W21" s="188"/>
    </row>
    <row r="22" spans="1:23" x14ac:dyDescent="0.25">
      <c r="A22" s="23" t="s">
        <v>1174</v>
      </c>
      <c r="B22" s="23" t="s">
        <v>1173</v>
      </c>
      <c r="C22" s="57" t="s">
        <v>282</v>
      </c>
      <c r="D22" s="21">
        <f>1</f>
        <v>1</v>
      </c>
      <c r="E22" s="21">
        <f>3</f>
        <v>3</v>
      </c>
      <c r="F22" s="21">
        <f>2</f>
        <v>2</v>
      </c>
      <c r="G22" s="21">
        <f>2</f>
        <v>2</v>
      </c>
      <c r="H22" s="21">
        <f>2</f>
        <v>2</v>
      </c>
      <c r="I22" s="21">
        <f>2</f>
        <v>2</v>
      </c>
      <c r="J22" s="21">
        <f>1</f>
        <v>1</v>
      </c>
      <c r="K22" s="21">
        <f>1</f>
        <v>1</v>
      </c>
      <c r="L22" s="21">
        <f>1</f>
        <v>1</v>
      </c>
      <c r="M22" s="21">
        <f>1</f>
        <v>1</v>
      </c>
      <c r="N22" s="21">
        <f>1</f>
        <v>1</v>
      </c>
      <c r="O22" s="21">
        <f>1</f>
        <v>1</v>
      </c>
      <c r="P22" s="21">
        <f>1</f>
        <v>1</v>
      </c>
      <c r="Q22" s="21">
        <f>1</f>
        <v>1</v>
      </c>
      <c r="T22" s="188"/>
      <c r="U22" s="188"/>
      <c r="V22" s="188"/>
      <c r="W22" s="188"/>
    </row>
    <row r="23" spans="1:23" x14ac:dyDescent="0.25">
      <c r="A23" s="23" t="s">
        <v>405</v>
      </c>
      <c r="B23" s="14" t="s">
        <v>402</v>
      </c>
      <c r="C23" s="14" t="s">
        <v>282</v>
      </c>
      <c r="D23" s="21">
        <f>4</f>
        <v>4</v>
      </c>
      <c r="E23" s="21">
        <f>2</f>
        <v>2</v>
      </c>
      <c r="F23" s="21">
        <f>2</f>
        <v>2</v>
      </c>
      <c r="G23" s="43">
        <f>3</f>
        <v>3</v>
      </c>
      <c r="H23" s="43">
        <f>3</f>
        <v>3</v>
      </c>
      <c r="I23" s="43">
        <f>6</f>
        <v>6</v>
      </c>
      <c r="J23" s="21">
        <f>3</f>
        <v>3</v>
      </c>
      <c r="K23" s="21">
        <f>1</f>
        <v>1</v>
      </c>
      <c r="L23" s="21">
        <f>1</f>
        <v>1</v>
      </c>
      <c r="M23" s="21">
        <f>2</f>
        <v>2</v>
      </c>
      <c r="N23" s="21">
        <f>1</f>
        <v>1</v>
      </c>
      <c r="O23" s="21"/>
      <c r="P23" s="21"/>
      <c r="Q23" s="21"/>
      <c r="T23" s="188"/>
      <c r="U23" s="188"/>
      <c r="V23" s="188"/>
      <c r="W23" s="188"/>
    </row>
    <row r="24" spans="1:23" ht="15.75" customHeight="1" x14ac:dyDescent="0.25">
      <c r="A24" s="23" t="s">
        <v>415</v>
      </c>
      <c r="B24" s="14" t="s">
        <v>416</v>
      </c>
      <c r="C24" s="14"/>
      <c r="D24" s="21"/>
      <c r="E24" s="21"/>
      <c r="F24" s="21"/>
      <c r="G24" s="43"/>
      <c r="H24" s="43"/>
      <c r="I24" s="43"/>
      <c r="J24" s="21"/>
      <c r="K24" s="21"/>
      <c r="L24" s="21"/>
      <c r="M24" s="21"/>
      <c r="N24" s="21"/>
      <c r="O24" s="21"/>
      <c r="P24" s="21"/>
      <c r="Q24" s="21"/>
      <c r="T24" s="188"/>
      <c r="U24" s="188"/>
      <c r="V24" s="188"/>
      <c r="W24" s="188"/>
    </row>
    <row r="25" spans="1:23" x14ac:dyDescent="0.25">
      <c r="A25" s="23" t="s">
        <v>417</v>
      </c>
      <c r="B25" s="14" t="s">
        <v>418</v>
      </c>
      <c r="C25" s="14" t="s">
        <v>282</v>
      </c>
      <c r="D25" s="21"/>
      <c r="E25" s="21"/>
      <c r="F25" s="21"/>
      <c r="G25" s="43"/>
      <c r="H25" s="43"/>
      <c r="I25" s="43">
        <f>1</f>
        <v>1</v>
      </c>
      <c r="J25" s="21">
        <f>1</f>
        <v>1</v>
      </c>
      <c r="K25" s="21"/>
      <c r="L25" s="21">
        <f>1</f>
        <v>1</v>
      </c>
      <c r="M25" s="21"/>
      <c r="N25" s="21">
        <f>1</f>
        <v>1</v>
      </c>
      <c r="O25" s="21"/>
      <c r="P25" s="21"/>
      <c r="Q25" s="21"/>
      <c r="T25" s="188"/>
      <c r="U25" s="188"/>
      <c r="V25" s="188"/>
      <c r="W25" s="188"/>
    </row>
    <row r="26" spans="1:23" x14ac:dyDescent="0.25">
      <c r="A26" s="303" t="s">
        <v>1199</v>
      </c>
      <c r="B26" s="304"/>
      <c r="C26" s="190"/>
      <c r="D26" s="63">
        <f>SUM(D8:D25)</f>
        <v>67</v>
      </c>
      <c r="E26" s="63">
        <f t="shared" ref="E26:Q26" si="2">SUM(E8:E25)</f>
        <v>76</v>
      </c>
      <c r="F26" s="63">
        <f t="shared" si="2"/>
        <v>81</v>
      </c>
      <c r="G26" s="63">
        <f t="shared" si="2"/>
        <v>86</v>
      </c>
      <c r="H26" s="63">
        <f t="shared" si="2"/>
        <v>83</v>
      </c>
      <c r="I26" s="63">
        <f t="shared" si="2"/>
        <v>95</v>
      </c>
      <c r="J26" s="63">
        <f t="shared" si="2"/>
        <v>91</v>
      </c>
      <c r="K26" s="63">
        <f t="shared" si="2"/>
        <v>98</v>
      </c>
      <c r="L26" s="63">
        <f t="shared" si="2"/>
        <v>106</v>
      </c>
      <c r="M26" s="63">
        <f t="shared" si="2"/>
        <v>102</v>
      </c>
      <c r="N26" s="63">
        <f t="shared" si="2"/>
        <v>110</v>
      </c>
      <c r="O26" s="63">
        <f t="shared" si="2"/>
        <v>118</v>
      </c>
      <c r="P26" s="63">
        <f t="shared" si="2"/>
        <v>119</v>
      </c>
      <c r="Q26" s="63">
        <f t="shared" si="2"/>
        <v>121</v>
      </c>
      <c r="T26" s="188"/>
      <c r="U26" s="188"/>
      <c r="V26" s="188"/>
      <c r="W26" s="188"/>
    </row>
    <row r="27" spans="1:23" x14ac:dyDescent="0.25">
      <c r="A27" s="257" t="s">
        <v>10</v>
      </c>
      <c r="B27" s="258"/>
      <c r="C27" s="259"/>
      <c r="D27" s="21"/>
      <c r="E27" s="21"/>
      <c r="F27" s="21"/>
      <c r="G27" s="43"/>
      <c r="H27" s="43"/>
      <c r="I27" s="43"/>
      <c r="J27" s="21"/>
      <c r="K27" s="21"/>
      <c r="L27" s="21"/>
      <c r="M27" s="21"/>
      <c r="N27" s="21"/>
      <c r="O27" s="21"/>
      <c r="P27" s="21"/>
      <c r="Q27" s="21"/>
      <c r="T27" s="188"/>
      <c r="U27" s="188"/>
      <c r="V27" s="188"/>
      <c r="W27" s="188"/>
    </row>
    <row r="28" spans="1:23" x14ac:dyDescent="0.25">
      <c r="A28" s="14" t="s">
        <v>28</v>
      </c>
      <c r="B28" s="14" t="s">
        <v>29</v>
      </c>
      <c r="C28" s="14"/>
      <c r="D28" s="20"/>
      <c r="E28" s="20"/>
      <c r="F28" s="20"/>
      <c r="G28" s="45"/>
      <c r="H28" s="45"/>
      <c r="I28" s="45"/>
      <c r="J28" s="20"/>
      <c r="K28" s="20"/>
      <c r="L28" s="20"/>
      <c r="M28" s="20"/>
      <c r="N28" s="20"/>
      <c r="O28" s="20"/>
      <c r="P28" s="20"/>
      <c r="Q28" s="20"/>
      <c r="T28" s="188"/>
      <c r="U28" s="188"/>
      <c r="V28" s="188"/>
      <c r="W28" s="188"/>
    </row>
    <row r="29" spans="1:23" x14ac:dyDescent="0.25">
      <c r="A29" s="14" t="s">
        <v>158</v>
      </c>
      <c r="B29" s="14" t="s">
        <v>42</v>
      </c>
      <c r="C29" s="57" t="s">
        <v>282</v>
      </c>
      <c r="D29" s="20">
        <f>20+1471+1</f>
        <v>1492</v>
      </c>
      <c r="E29" s="20">
        <f>20+1521+1+5</f>
        <v>1547</v>
      </c>
      <c r="F29" s="20">
        <f>20+1572+1+1+5</f>
        <v>1599</v>
      </c>
      <c r="G29" s="20">
        <f>20+1621+1+2</f>
        <v>1644</v>
      </c>
      <c r="H29" s="20">
        <f>20+1671+1+2</f>
        <v>1694</v>
      </c>
      <c r="I29" s="20">
        <f>20+1721+1+2</f>
        <v>1744</v>
      </c>
      <c r="J29" s="20">
        <f>20+1771+1+2</f>
        <v>1794</v>
      </c>
      <c r="K29" s="20">
        <f>20+1821+1+2</f>
        <v>1844</v>
      </c>
      <c r="L29" s="20">
        <f>20+1871+1+2</f>
        <v>1894</v>
      </c>
      <c r="M29" s="20">
        <f>20+1921+1+2</f>
        <v>1944</v>
      </c>
      <c r="N29" s="20">
        <f>20+1971+1+2</f>
        <v>1994</v>
      </c>
      <c r="O29" s="20">
        <f>20+2021+1+2</f>
        <v>2044</v>
      </c>
      <c r="P29" s="20">
        <f>20+2071+1+2</f>
        <v>2094</v>
      </c>
      <c r="Q29" s="20">
        <f>20+2121+1+2</f>
        <v>2144</v>
      </c>
      <c r="R29" s="191"/>
      <c r="T29" s="188"/>
      <c r="U29" s="188"/>
      <c r="V29" s="188"/>
      <c r="W29" s="188"/>
    </row>
    <row r="30" spans="1:23" x14ac:dyDescent="0.25">
      <c r="A30" s="14" t="s">
        <v>6</v>
      </c>
      <c r="B30" s="270" t="s">
        <v>7</v>
      </c>
      <c r="C30" s="271"/>
      <c r="D30" s="21"/>
      <c r="E30" s="21"/>
      <c r="F30" s="21"/>
      <c r="G30" s="43"/>
      <c r="H30" s="43"/>
      <c r="I30" s="43"/>
      <c r="J30" s="21"/>
      <c r="K30" s="21"/>
      <c r="L30" s="21"/>
      <c r="M30" s="21"/>
      <c r="N30" s="21"/>
      <c r="O30" s="21"/>
      <c r="P30" s="21"/>
      <c r="Q30" s="20"/>
      <c r="T30" s="188"/>
      <c r="U30" s="188"/>
      <c r="V30" s="188"/>
      <c r="W30" s="188"/>
    </row>
    <row r="31" spans="1:23" x14ac:dyDescent="0.25">
      <c r="A31" s="23" t="s">
        <v>327</v>
      </c>
      <c r="B31" s="14" t="s">
        <v>324</v>
      </c>
      <c r="C31" s="57" t="s">
        <v>282</v>
      </c>
      <c r="D31" s="21">
        <f>5+2</f>
        <v>7</v>
      </c>
      <c r="E31" s="21">
        <f>7+7</f>
        <v>14</v>
      </c>
      <c r="F31" s="21">
        <f>8+6</f>
        <v>14</v>
      </c>
      <c r="G31" s="43">
        <f>7+7</f>
        <v>14</v>
      </c>
      <c r="H31" s="43">
        <f>7+5+1</f>
        <v>13</v>
      </c>
      <c r="I31" s="43">
        <f>5+6</f>
        <v>11</v>
      </c>
      <c r="J31" s="21">
        <f>6+6</f>
        <v>12</v>
      </c>
      <c r="K31" s="21">
        <f>6+5</f>
        <v>11</v>
      </c>
      <c r="L31" s="21">
        <f>7+6</f>
        <v>13</v>
      </c>
      <c r="M31" s="21">
        <f>6+6</f>
        <v>12</v>
      </c>
      <c r="N31" s="21">
        <f>7+7</f>
        <v>14</v>
      </c>
      <c r="O31" s="21">
        <f>10+5</f>
        <v>15</v>
      </c>
      <c r="P31" s="21">
        <f>10+5</f>
        <v>15</v>
      </c>
      <c r="Q31" s="20">
        <f>11+7</f>
        <v>18</v>
      </c>
      <c r="T31" s="188"/>
      <c r="U31" s="188"/>
      <c r="V31" s="188"/>
      <c r="W31" s="188"/>
    </row>
    <row r="32" spans="1:23" x14ac:dyDescent="0.25">
      <c r="A32" s="23" t="s">
        <v>121</v>
      </c>
      <c r="B32" s="14" t="s">
        <v>123</v>
      </c>
      <c r="C32" s="57" t="s">
        <v>282</v>
      </c>
      <c r="D32" s="20">
        <f>13+5+2+1</f>
        <v>21</v>
      </c>
      <c r="E32" s="20">
        <f>16+5+3+1</f>
        <v>25</v>
      </c>
      <c r="F32" s="20">
        <f>15+5+3+1</f>
        <v>24</v>
      </c>
      <c r="G32" s="20">
        <f>14+5+3+1</f>
        <v>23</v>
      </c>
      <c r="H32" s="45">
        <f>14+5+2+1</f>
        <v>22</v>
      </c>
      <c r="I32" s="45">
        <f>13+3+3+1</f>
        <v>20</v>
      </c>
      <c r="J32" s="45">
        <f>15+6+3+1</f>
        <v>25</v>
      </c>
      <c r="K32" s="45">
        <f>14+5+3+1</f>
        <v>23</v>
      </c>
      <c r="L32" s="45">
        <f>14+4+3+1</f>
        <v>22</v>
      </c>
      <c r="M32" s="20">
        <f>13+5+4+1</f>
        <v>23</v>
      </c>
      <c r="N32" s="20">
        <f>16+6+3+1</f>
        <v>26</v>
      </c>
      <c r="O32" s="20">
        <f>16+7+4+1</f>
        <v>28</v>
      </c>
      <c r="P32" s="20">
        <f>17+8+2+1</f>
        <v>28</v>
      </c>
      <c r="Q32" s="20">
        <f>17+8+3+1</f>
        <v>29</v>
      </c>
      <c r="T32" s="188"/>
      <c r="U32" s="188"/>
      <c r="V32" s="188"/>
      <c r="W32" s="188"/>
    </row>
    <row r="33" spans="1:23" x14ac:dyDescent="0.25">
      <c r="A33" s="14" t="s">
        <v>325</v>
      </c>
      <c r="B33" s="14" t="s">
        <v>326</v>
      </c>
      <c r="C33" s="57" t="s">
        <v>282</v>
      </c>
      <c r="D33" s="20">
        <f>4+3</f>
        <v>7</v>
      </c>
      <c r="E33" s="20">
        <f>7+3</f>
        <v>10</v>
      </c>
      <c r="F33" s="20">
        <f>14+3</f>
        <v>17</v>
      </c>
      <c r="G33" s="20">
        <f>5+3</f>
        <v>8</v>
      </c>
      <c r="H33" s="20">
        <f>5+3</f>
        <v>8</v>
      </c>
      <c r="I33" s="20">
        <f>4+3</f>
        <v>7</v>
      </c>
      <c r="J33" s="20">
        <f>6+3</f>
        <v>9</v>
      </c>
      <c r="K33" s="20">
        <f t="shared" ref="K33:L33" si="3">6+3</f>
        <v>9</v>
      </c>
      <c r="L33" s="20">
        <f t="shared" si="3"/>
        <v>9</v>
      </c>
      <c r="M33" s="20">
        <f>5+3</f>
        <v>8</v>
      </c>
      <c r="N33" s="20">
        <f>6+3</f>
        <v>9</v>
      </c>
      <c r="O33" s="20">
        <f>8+3</f>
        <v>11</v>
      </c>
      <c r="P33" s="20">
        <f>9+3</f>
        <v>12</v>
      </c>
      <c r="Q33" s="20">
        <f>10+3</f>
        <v>13</v>
      </c>
      <c r="T33" s="188"/>
      <c r="U33" s="188"/>
      <c r="V33" s="188"/>
      <c r="W33" s="188"/>
    </row>
    <row r="34" spans="1:23" x14ac:dyDescent="0.25">
      <c r="A34" s="31">
        <v>38055</v>
      </c>
      <c r="B34" s="14" t="s">
        <v>105</v>
      </c>
      <c r="C34" s="57" t="s">
        <v>282</v>
      </c>
      <c r="D34" s="20">
        <f>3+3</f>
        <v>6</v>
      </c>
      <c r="E34" s="20">
        <f>4+4</f>
        <v>8</v>
      </c>
      <c r="F34" s="20">
        <f>3+4</f>
        <v>7</v>
      </c>
      <c r="G34" s="20">
        <f>3+5</f>
        <v>8</v>
      </c>
      <c r="H34" s="20">
        <f>3+5</f>
        <v>8</v>
      </c>
      <c r="I34" s="20">
        <f>3+3</f>
        <v>6</v>
      </c>
      <c r="J34" s="20">
        <f>4+4</f>
        <v>8</v>
      </c>
      <c r="K34" s="20">
        <f>3+5</f>
        <v>8</v>
      </c>
      <c r="L34" s="20">
        <f>4+5</f>
        <v>9</v>
      </c>
      <c r="M34" s="20">
        <f>4+4</f>
        <v>8</v>
      </c>
      <c r="N34" s="20">
        <f t="shared" ref="N34:O34" si="4">4+4</f>
        <v>8</v>
      </c>
      <c r="O34" s="20">
        <f t="shared" si="4"/>
        <v>8</v>
      </c>
      <c r="P34" s="20">
        <f>4+5</f>
        <v>9</v>
      </c>
      <c r="Q34" s="20">
        <f>4+3</f>
        <v>7</v>
      </c>
      <c r="T34" s="188"/>
      <c r="U34" s="188"/>
      <c r="V34" s="188"/>
      <c r="W34" s="188"/>
    </row>
    <row r="35" spans="1:23" x14ac:dyDescent="0.25">
      <c r="A35" s="14" t="s">
        <v>52</v>
      </c>
      <c r="B35" s="14" t="s">
        <v>53</v>
      </c>
      <c r="C35" s="55"/>
      <c r="D35" s="21"/>
      <c r="E35" s="21"/>
      <c r="F35" s="21"/>
      <c r="G35" s="43"/>
      <c r="H35" s="43"/>
      <c r="I35" s="43"/>
      <c r="J35" s="21"/>
      <c r="K35" s="21"/>
      <c r="L35" s="21"/>
      <c r="M35" s="21"/>
      <c r="N35" s="21"/>
      <c r="O35" s="21"/>
      <c r="P35" s="21"/>
      <c r="Q35" s="20"/>
      <c r="T35" s="188"/>
      <c r="U35" s="188"/>
      <c r="V35" s="188"/>
      <c r="W35" s="188"/>
    </row>
    <row r="36" spans="1:23" x14ac:dyDescent="0.25">
      <c r="A36" s="23" t="s">
        <v>122</v>
      </c>
      <c r="B36" s="24" t="s">
        <v>54</v>
      </c>
      <c r="C36" s="57" t="s">
        <v>282</v>
      </c>
      <c r="D36" s="20">
        <f>14+1</f>
        <v>15</v>
      </c>
      <c r="E36" s="20">
        <f>12+2+1+1+5</f>
        <v>21</v>
      </c>
      <c r="F36" s="20">
        <f>2+14+1+1+5</f>
        <v>23</v>
      </c>
      <c r="G36" s="20">
        <f>2+14+1+5</f>
        <v>22</v>
      </c>
      <c r="H36" s="20">
        <f>2+13+1+1+5</f>
        <v>22</v>
      </c>
      <c r="I36" s="20">
        <f>2+11+5</f>
        <v>18</v>
      </c>
      <c r="J36" s="20">
        <f>2+12+1+5</f>
        <v>20</v>
      </c>
      <c r="K36" s="20">
        <f>2+13+1+5</f>
        <v>21</v>
      </c>
      <c r="L36" s="20">
        <f>2+14+1+1+5</f>
        <v>23</v>
      </c>
      <c r="M36" s="20">
        <f>2+14+1+5</f>
        <v>22</v>
      </c>
      <c r="N36" s="20">
        <f>2+14+1+5</f>
        <v>22</v>
      </c>
      <c r="O36" s="20">
        <f>2+16+1+5</f>
        <v>24</v>
      </c>
      <c r="P36" s="20">
        <f>2+16+1+1+5</f>
        <v>25</v>
      </c>
      <c r="Q36" s="20">
        <f>2+17+1+5</f>
        <v>25</v>
      </c>
      <c r="T36" s="188"/>
      <c r="U36" s="188"/>
      <c r="V36" s="188"/>
      <c r="W36" s="188"/>
    </row>
    <row r="37" spans="1:23" x14ac:dyDescent="0.25">
      <c r="A37" s="23" t="s">
        <v>30</v>
      </c>
      <c r="B37" s="270" t="s">
        <v>31</v>
      </c>
      <c r="C37" s="271"/>
      <c r="D37" s="21"/>
      <c r="E37" s="21"/>
      <c r="F37" s="21"/>
      <c r="G37" s="43"/>
      <c r="H37" s="43"/>
      <c r="I37" s="43"/>
      <c r="J37" s="21"/>
      <c r="K37" s="21"/>
      <c r="L37" s="21"/>
      <c r="M37" s="21"/>
      <c r="N37" s="21"/>
      <c r="O37" s="21"/>
      <c r="P37" s="21"/>
      <c r="Q37" s="20"/>
      <c r="T37" s="188"/>
      <c r="U37" s="188"/>
      <c r="V37" s="188"/>
      <c r="W37" s="188"/>
    </row>
    <row r="38" spans="1:23" x14ac:dyDescent="0.25">
      <c r="A38" s="23" t="s">
        <v>231</v>
      </c>
      <c r="B38" s="24" t="s">
        <v>232</v>
      </c>
      <c r="C38" s="54" t="str">
        <f>$C$29</f>
        <v>Бакалавр</v>
      </c>
      <c r="D38" s="25">
        <f>8</f>
        <v>8</v>
      </c>
      <c r="E38" s="25">
        <f>11</f>
        <v>11</v>
      </c>
      <c r="F38" s="25">
        <f>12</f>
        <v>12</v>
      </c>
      <c r="G38" s="46">
        <f>10</f>
        <v>10</v>
      </c>
      <c r="H38" s="46">
        <f>8</f>
        <v>8</v>
      </c>
      <c r="I38" s="46">
        <f>9</f>
        <v>9</v>
      </c>
      <c r="J38" s="25">
        <f>4</f>
        <v>4</v>
      </c>
      <c r="K38" s="25">
        <f>8</f>
        <v>8</v>
      </c>
      <c r="L38" s="25">
        <f>10</f>
        <v>10</v>
      </c>
      <c r="M38" s="25">
        <f>9</f>
        <v>9</v>
      </c>
      <c r="N38" s="25">
        <f>8</f>
        <v>8</v>
      </c>
      <c r="O38" s="25">
        <f>7</f>
        <v>7</v>
      </c>
      <c r="P38" s="25">
        <f>7</f>
        <v>7</v>
      </c>
      <c r="Q38" s="20">
        <f>9</f>
        <v>9</v>
      </c>
      <c r="T38" s="188"/>
      <c r="U38" s="188"/>
      <c r="V38" s="188"/>
      <c r="W38" s="188"/>
    </row>
    <row r="39" spans="1:23" x14ac:dyDescent="0.25">
      <c r="A39" s="31" t="s">
        <v>335</v>
      </c>
      <c r="B39" s="26" t="s">
        <v>370</v>
      </c>
      <c r="C39" s="54" t="str">
        <f>$C$29</f>
        <v>Бакалавр</v>
      </c>
      <c r="D39" s="25">
        <f>2</f>
        <v>2</v>
      </c>
      <c r="E39" s="25">
        <f>3</f>
        <v>3</v>
      </c>
      <c r="F39" s="25">
        <f>3</f>
        <v>3</v>
      </c>
      <c r="G39" s="25">
        <f>3</f>
        <v>3</v>
      </c>
      <c r="H39" s="46">
        <f>2</f>
        <v>2</v>
      </c>
      <c r="I39" s="46">
        <f>4</f>
        <v>4</v>
      </c>
      <c r="J39" s="25">
        <f>2</f>
        <v>2</v>
      </c>
      <c r="K39" s="25">
        <f>3</f>
        <v>3</v>
      </c>
      <c r="L39" s="25">
        <f>4</f>
        <v>4</v>
      </c>
      <c r="M39" s="25">
        <f>3</f>
        <v>3</v>
      </c>
      <c r="N39" s="25">
        <f>2</f>
        <v>2</v>
      </c>
      <c r="O39" s="25">
        <f>1</f>
        <v>1</v>
      </c>
      <c r="P39" s="25">
        <f>2</f>
        <v>2</v>
      </c>
      <c r="Q39" s="20">
        <f>3</f>
        <v>3</v>
      </c>
      <c r="T39" s="188"/>
      <c r="U39" s="188"/>
      <c r="V39" s="188"/>
      <c r="W39" s="188"/>
    </row>
    <row r="40" spans="1:23" ht="15" customHeight="1" x14ac:dyDescent="0.25">
      <c r="A40" s="23" t="s">
        <v>329</v>
      </c>
      <c r="B40" s="14" t="s">
        <v>328</v>
      </c>
      <c r="C40" s="54" t="str">
        <f>$C$29</f>
        <v>Бакалавр</v>
      </c>
      <c r="D40" s="25">
        <f>3</f>
        <v>3</v>
      </c>
      <c r="E40" s="25">
        <f>3</f>
        <v>3</v>
      </c>
      <c r="F40" s="25">
        <f>4</f>
        <v>4</v>
      </c>
      <c r="G40" s="46">
        <f>3</f>
        <v>3</v>
      </c>
      <c r="H40" s="46">
        <f>2</f>
        <v>2</v>
      </c>
      <c r="I40" s="46">
        <f>4</f>
        <v>4</v>
      </c>
      <c r="J40" s="25">
        <f>3</f>
        <v>3</v>
      </c>
      <c r="K40" s="25">
        <f>3</f>
        <v>3</v>
      </c>
      <c r="L40" s="25">
        <f>4</f>
        <v>4</v>
      </c>
      <c r="M40" s="25">
        <f>3</f>
        <v>3</v>
      </c>
      <c r="N40" s="25">
        <f>2</f>
        <v>2</v>
      </c>
      <c r="O40" s="25">
        <f>3</f>
        <v>3</v>
      </c>
      <c r="P40" s="25">
        <f>2</f>
        <v>2</v>
      </c>
      <c r="Q40" s="20">
        <f>4</f>
        <v>4</v>
      </c>
      <c r="T40" s="188"/>
      <c r="U40" s="188"/>
      <c r="V40" s="188"/>
      <c r="W40" s="188"/>
    </row>
    <row r="41" spans="1:23" x14ac:dyDescent="0.25">
      <c r="A41" s="23" t="s">
        <v>331</v>
      </c>
      <c r="B41" s="54" t="s">
        <v>330</v>
      </c>
      <c r="C41" s="54" t="str">
        <f>$C$29</f>
        <v>Бакалавр</v>
      </c>
      <c r="D41" s="25"/>
      <c r="E41" s="25">
        <f>1</f>
        <v>1</v>
      </c>
      <c r="F41" s="25"/>
      <c r="G41" s="46">
        <f>1</f>
        <v>1</v>
      </c>
      <c r="H41" s="46"/>
      <c r="I41" s="46">
        <f>1</f>
        <v>1</v>
      </c>
      <c r="J41" s="25"/>
      <c r="K41" s="25">
        <f>1</f>
        <v>1</v>
      </c>
      <c r="L41" s="25"/>
      <c r="M41" s="25">
        <f>1</f>
        <v>1</v>
      </c>
      <c r="N41" s="25"/>
      <c r="O41" s="25">
        <f>1</f>
        <v>1</v>
      </c>
      <c r="P41" s="25"/>
      <c r="Q41" s="20">
        <f>1</f>
        <v>1</v>
      </c>
      <c r="T41" s="188"/>
      <c r="U41" s="188"/>
      <c r="V41" s="188"/>
      <c r="W41" s="188"/>
    </row>
    <row r="42" spans="1:23" ht="33.75" customHeight="1" x14ac:dyDescent="0.25">
      <c r="A42" s="23" t="s">
        <v>332</v>
      </c>
      <c r="B42" s="54" t="s">
        <v>333</v>
      </c>
      <c r="C42" s="54"/>
      <c r="D42" s="25"/>
      <c r="E42" s="25"/>
      <c r="F42" s="25"/>
      <c r="G42" s="46"/>
      <c r="H42" s="46"/>
      <c r="I42" s="46"/>
      <c r="J42" s="25"/>
      <c r="K42" s="25"/>
      <c r="L42" s="25"/>
      <c r="M42" s="25"/>
      <c r="N42" s="25"/>
      <c r="O42" s="25"/>
      <c r="P42" s="25"/>
      <c r="Q42" s="20"/>
      <c r="T42" s="188"/>
      <c r="U42" s="188"/>
      <c r="V42" s="188"/>
      <c r="W42" s="188"/>
    </row>
    <row r="43" spans="1:23" x14ac:dyDescent="0.25">
      <c r="A43" s="23" t="s">
        <v>1113</v>
      </c>
      <c r="B43" s="54" t="s">
        <v>1112</v>
      </c>
      <c r="C43" s="54" t="s">
        <v>282</v>
      </c>
      <c r="D43" s="25">
        <f>3</f>
        <v>3</v>
      </c>
      <c r="E43" s="25">
        <f>3</f>
        <v>3</v>
      </c>
      <c r="F43" s="25">
        <f>3</f>
        <v>3</v>
      </c>
      <c r="G43" s="25">
        <f>3</f>
        <v>3</v>
      </c>
      <c r="H43" s="25">
        <f>3</f>
        <v>3</v>
      </c>
      <c r="I43" s="25">
        <f>3</f>
        <v>3</v>
      </c>
      <c r="J43" s="25">
        <f>3</f>
        <v>3</v>
      </c>
      <c r="K43" s="25">
        <f>3</f>
        <v>3</v>
      </c>
      <c r="L43" s="25">
        <f>3</f>
        <v>3</v>
      </c>
      <c r="M43" s="25">
        <f>3</f>
        <v>3</v>
      </c>
      <c r="N43" s="25">
        <f>3</f>
        <v>3</v>
      </c>
      <c r="O43" s="25">
        <f>3</f>
        <v>3</v>
      </c>
      <c r="P43" s="25">
        <f>3</f>
        <v>3</v>
      </c>
      <c r="Q43" s="25">
        <f>3</f>
        <v>3</v>
      </c>
      <c r="T43" s="188"/>
      <c r="U43" s="188"/>
      <c r="V43" s="188"/>
      <c r="W43" s="188"/>
    </row>
    <row r="44" spans="1:23" x14ac:dyDescent="0.25">
      <c r="A44" s="31" t="s">
        <v>32</v>
      </c>
      <c r="B44" s="14" t="s">
        <v>106</v>
      </c>
      <c r="C44" s="54"/>
      <c r="D44" s="25"/>
      <c r="E44" s="25"/>
      <c r="F44" s="25"/>
      <c r="G44" s="46"/>
      <c r="H44" s="46"/>
      <c r="I44" s="46"/>
      <c r="J44" s="25"/>
      <c r="K44" s="25"/>
      <c r="L44" s="25"/>
      <c r="M44" s="25"/>
      <c r="N44" s="25"/>
      <c r="O44" s="25"/>
      <c r="P44" s="25"/>
      <c r="Q44" s="20"/>
      <c r="T44" s="188"/>
      <c r="U44" s="188"/>
      <c r="V44" s="188"/>
      <c r="W44" s="188"/>
    </row>
    <row r="45" spans="1:23" x14ac:dyDescent="0.25">
      <c r="A45" s="31">
        <v>36963</v>
      </c>
      <c r="B45" s="14" t="s">
        <v>1119</v>
      </c>
      <c r="C45" s="54" t="s">
        <v>282</v>
      </c>
      <c r="D45" s="25"/>
      <c r="E45" s="25"/>
      <c r="F45" s="25"/>
      <c r="G45" s="46"/>
      <c r="H45" s="46"/>
      <c r="I45" s="46"/>
      <c r="J45" s="25"/>
      <c r="K45" s="25"/>
      <c r="L45" s="25"/>
      <c r="M45" s="25"/>
      <c r="N45" s="25"/>
      <c r="O45" s="25"/>
      <c r="P45" s="25"/>
      <c r="Q45" s="25"/>
      <c r="T45" s="188"/>
      <c r="U45" s="188"/>
      <c r="V45" s="188"/>
      <c r="W45" s="188"/>
    </row>
    <row r="46" spans="1:23" ht="15.75" customHeight="1" x14ac:dyDescent="0.25">
      <c r="A46" s="23" t="s">
        <v>334</v>
      </c>
      <c r="B46" s="14" t="s">
        <v>124</v>
      </c>
      <c r="C46" s="54" t="s">
        <v>282</v>
      </c>
      <c r="D46" s="25">
        <f>2+3+3</f>
        <v>8</v>
      </c>
      <c r="E46" s="25">
        <f>2+3+2</f>
        <v>7</v>
      </c>
      <c r="F46" s="25">
        <f>2+3+3</f>
        <v>8</v>
      </c>
      <c r="G46" s="25">
        <f>2+3+1</f>
        <v>6</v>
      </c>
      <c r="H46" s="25">
        <f>2+3+1</f>
        <v>6</v>
      </c>
      <c r="I46" s="25">
        <f>2+3+2</f>
        <v>7</v>
      </c>
      <c r="J46" s="25">
        <f>2+3+2</f>
        <v>7</v>
      </c>
      <c r="K46" s="25">
        <f>2+3+1</f>
        <v>6</v>
      </c>
      <c r="L46" s="25">
        <f t="shared" ref="L46:O46" si="5">2+3+1</f>
        <v>6</v>
      </c>
      <c r="M46" s="25">
        <f t="shared" si="5"/>
        <v>6</v>
      </c>
      <c r="N46" s="25">
        <f t="shared" si="5"/>
        <v>6</v>
      </c>
      <c r="O46" s="25">
        <f t="shared" si="5"/>
        <v>6</v>
      </c>
      <c r="P46" s="25">
        <f>2+3+2</f>
        <v>7</v>
      </c>
      <c r="Q46" s="25">
        <f>2+3+2</f>
        <v>7</v>
      </c>
      <c r="T46" s="188"/>
      <c r="U46" s="188"/>
      <c r="V46" s="188"/>
      <c r="W46" s="188"/>
    </row>
    <row r="47" spans="1:23" ht="15.75" customHeight="1" x14ac:dyDescent="0.25">
      <c r="A47" s="31" t="s">
        <v>148</v>
      </c>
      <c r="B47" s="27" t="s">
        <v>149</v>
      </c>
      <c r="C47" s="54"/>
      <c r="D47" s="25"/>
      <c r="E47" s="25"/>
      <c r="F47" s="25"/>
      <c r="G47" s="46"/>
      <c r="H47" s="46"/>
      <c r="I47" s="46"/>
      <c r="J47" s="25"/>
      <c r="K47" s="25"/>
      <c r="L47" s="25"/>
      <c r="M47" s="25"/>
      <c r="N47" s="25"/>
      <c r="O47" s="25"/>
      <c r="P47" s="25"/>
      <c r="Q47" s="20"/>
      <c r="T47" s="188"/>
      <c r="U47" s="188"/>
      <c r="V47" s="188"/>
      <c r="W47" s="188"/>
    </row>
    <row r="48" spans="1:23" ht="15" customHeight="1" x14ac:dyDescent="0.25">
      <c r="A48" s="23" t="s">
        <v>337</v>
      </c>
      <c r="B48" s="27" t="s">
        <v>336</v>
      </c>
      <c r="C48" s="57" t="s">
        <v>282</v>
      </c>
      <c r="D48" s="25">
        <f>2</f>
        <v>2</v>
      </c>
      <c r="E48" s="25">
        <f>3</f>
        <v>3</v>
      </c>
      <c r="F48" s="25">
        <f>3</f>
        <v>3</v>
      </c>
      <c r="G48" s="25">
        <f>3</f>
        <v>3</v>
      </c>
      <c r="H48" s="25">
        <f>3</f>
        <v>3</v>
      </c>
      <c r="I48" s="25">
        <f>3</f>
        <v>3</v>
      </c>
      <c r="J48" s="25">
        <f>3</f>
        <v>3</v>
      </c>
      <c r="K48" s="25">
        <f>3</f>
        <v>3</v>
      </c>
      <c r="L48" s="25">
        <f>3</f>
        <v>3</v>
      </c>
      <c r="M48" s="25">
        <f>3</f>
        <v>3</v>
      </c>
      <c r="N48" s="25">
        <f>3</f>
        <v>3</v>
      </c>
      <c r="O48" s="25">
        <f>3</f>
        <v>3</v>
      </c>
      <c r="P48" s="25">
        <f>3</f>
        <v>3</v>
      </c>
      <c r="Q48" s="25">
        <f>3</f>
        <v>3</v>
      </c>
      <c r="T48" s="188"/>
      <c r="U48" s="188"/>
      <c r="V48" s="188"/>
      <c r="W48" s="188"/>
    </row>
    <row r="49" spans="1:23" x14ac:dyDescent="0.25">
      <c r="A49" s="23" t="s">
        <v>338</v>
      </c>
      <c r="B49" s="27" t="s">
        <v>230</v>
      </c>
      <c r="C49" s="57" t="s">
        <v>282</v>
      </c>
      <c r="D49" s="25"/>
      <c r="E49" s="25">
        <f>1</f>
        <v>1</v>
      </c>
      <c r="F49" s="25"/>
      <c r="G49" s="46">
        <f>2</f>
        <v>2</v>
      </c>
      <c r="H49" s="46"/>
      <c r="I49" s="46"/>
      <c r="J49" s="25">
        <f>2</f>
        <v>2</v>
      </c>
      <c r="K49" s="25"/>
      <c r="L49" s="25">
        <f>2</f>
        <v>2</v>
      </c>
      <c r="M49" s="25"/>
      <c r="N49" s="25"/>
      <c r="O49" s="25">
        <f>2</f>
        <v>2</v>
      </c>
      <c r="P49" s="25"/>
      <c r="Q49" s="20">
        <f>1</f>
        <v>1</v>
      </c>
      <c r="T49" s="188"/>
      <c r="U49" s="188"/>
      <c r="V49" s="188"/>
      <c r="W49" s="188"/>
    </row>
    <row r="50" spans="1:23" x14ac:dyDescent="0.25">
      <c r="A50" s="23" t="s">
        <v>1115</v>
      </c>
      <c r="B50" s="27" t="s">
        <v>1114</v>
      </c>
      <c r="C50" s="57" t="s">
        <v>282</v>
      </c>
      <c r="D50" s="25">
        <f>1</f>
        <v>1</v>
      </c>
      <c r="E50" s="25">
        <f>1</f>
        <v>1</v>
      </c>
      <c r="F50" s="25">
        <f>1</f>
        <v>1</v>
      </c>
      <c r="G50" s="25">
        <f>1</f>
        <v>1</v>
      </c>
      <c r="H50" s="25">
        <f>1</f>
        <v>1</v>
      </c>
      <c r="I50" s="25">
        <f>1</f>
        <v>1</v>
      </c>
      <c r="J50" s="25">
        <f>1</f>
        <v>1</v>
      </c>
      <c r="K50" s="25">
        <f>1</f>
        <v>1</v>
      </c>
      <c r="L50" s="25">
        <f>1</f>
        <v>1</v>
      </c>
      <c r="M50" s="25">
        <f>1</f>
        <v>1</v>
      </c>
      <c r="N50" s="25">
        <f>1</f>
        <v>1</v>
      </c>
      <c r="O50" s="25">
        <f>1</f>
        <v>1</v>
      </c>
      <c r="P50" s="25">
        <f>1</f>
        <v>1</v>
      </c>
      <c r="Q50" s="25">
        <f>1</f>
        <v>1</v>
      </c>
      <c r="T50" s="188"/>
      <c r="U50" s="188"/>
      <c r="V50" s="188"/>
      <c r="W50" s="188"/>
    </row>
    <row r="51" spans="1:23" ht="31.5" customHeight="1" x14ac:dyDescent="0.25">
      <c r="A51" s="23" t="s">
        <v>339</v>
      </c>
      <c r="B51" s="14" t="s">
        <v>340</v>
      </c>
      <c r="C51" s="57" t="s">
        <v>282</v>
      </c>
      <c r="D51" s="25">
        <f>2+1</f>
        <v>3</v>
      </c>
      <c r="E51" s="25">
        <f>3+1</f>
        <v>4</v>
      </c>
      <c r="F51" s="25">
        <f>2+1+1</f>
        <v>4</v>
      </c>
      <c r="G51" s="46">
        <f>4+1</f>
        <v>5</v>
      </c>
      <c r="H51" s="46">
        <f>2+1+1</f>
        <v>4</v>
      </c>
      <c r="I51" s="46">
        <f>3+1+1</f>
        <v>5</v>
      </c>
      <c r="J51" s="25">
        <f>2+1</f>
        <v>3</v>
      </c>
      <c r="K51" s="25">
        <f>2+1</f>
        <v>3</v>
      </c>
      <c r="L51" s="25">
        <f>4+1+1</f>
        <v>6</v>
      </c>
      <c r="M51" s="25">
        <f>2+1</f>
        <v>3</v>
      </c>
      <c r="N51" s="25">
        <f>4+1+1</f>
        <v>6</v>
      </c>
      <c r="O51" s="25">
        <f>2+1</f>
        <v>3</v>
      </c>
      <c r="P51" s="25">
        <f>5+1+1</f>
        <v>7</v>
      </c>
      <c r="Q51" s="20">
        <f>4+1</f>
        <v>5</v>
      </c>
      <c r="T51" s="188"/>
      <c r="U51" s="188"/>
      <c r="V51" s="188"/>
      <c r="W51" s="188"/>
    </row>
    <row r="52" spans="1:23" ht="30.75" customHeight="1" x14ac:dyDescent="0.25">
      <c r="A52" s="31" t="s">
        <v>229</v>
      </c>
      <c r="B52" s="14" t="s">
        <v>228</v>
      </c>
      <c r="C52" s="57" t="s">
        <v>282</v>
      </c>
      <c r="D52" s="25">
        <f>20+1</f>
        <v>21</v>
      </c>
      <c r="E52" s="25">
        <f>19+2</f>
        <v>21</v>
      </c>
      <c r="F52" s="25">
        <f>18+1</f>
        <v>19</v>
      </c>
      <c r="G52" s="25">
        <f>20+3</f>
        <v>23</v>
      </c>
      <c r="H52" s="25">
        <f>19+2</f>
        <v>21</v>
      </c>
      <c r="I52" s="46">
        <f>17+1</f>
        <v>18</v>
      </c>
      <c r="J52" s="46">
        <f t="shared" ref="J52:K52" si="6">17+1</f>
        <v>18</v>
      </c>
      <c r="K52" s="46">
        <f t="shared" si="6"/>
        <v>18</v>
      </c>
      <c r="L52" s="25">
        <f>20+2</f>
        <v>22</v>
      </c>
      <c r="M52" s="25">
        <f>21+1</f>
        <v>22</v>
      </c>
      <c r="N52" s="25">
        <f>21+1</f>
        <v>22</v>
      </c>
      <c r="O52" s="25">
        <f>19+1</f>
        <v>20</v>
      </c>
      <c r="P52" s="25">
        <f>20+1</f>
        <v>21</v>
      </c>
      <c r="Q52" s="20">
        <f>22+1</f>
        <v>23</v>
      </c>
      <c r="T52" s="188"/>
      <c r="U52" s="188"/>
      <c r="V52" s="188"/>
      <c r="W52" s="188"/>
    </row>
    <row r="53" spans="1:23" x14ac:dyDescent="0.25">
      <c r="A53" s="31" t="s">
        <v>107</v>
      </c>
      <c r="B53" s="27" t="s">
        <v>108</v>
      </c>
      <c r="C53" s="14"/>
      <c r="D53" s="20"/>
      <c r="E53" s="20"/>
      <c r="F53" s="20"/>
      <c r="G53" s="45"/>
      <c r="H53" s="45"/>
      <c r="I53" s="45"/>
      <c r="J53" s="20"/>
      <c r="K53" s="20"/>
      <c r="L53" s="20"/>
      <c r="M53" s="20"/>
      <c r="N53" s="20"/>
      <c r="O53" s="20"/>
      <c r="P53" s="20"/>
      <c r="Q53" s="20"/>
      <c r="T53" s="188"/>
      <c r="U53" s="188"/>
      <c r="V53" s="188"/>
      <c r="W53" s="188"/>
    </row>
    <row r="54" spans="1:23" x14ac:dyDescent="0.25">
      <c r="A54" s="23" t="s">
        <v>288</v>
      </c>
      <c r="B54" s="26" t="s">
        <v>220</v>
      </c>
      <c r="C54" s="57" t="s">
        <v>282</v>
      </c>
      <c r="D54" s="20">
        <f>3+1+1</f>
        <v>5</v>
      </c>
      <c r="E54" s="20">
        <f>5+1+1</f>
        <v>7</v>
      </c>
      <c r="F54" s="20">
        <f t="shared" ref="F54:O54" si="7">5+1+1</f>
        <v>7</v>
      </c>
      <c r="G54" s="20">
        <f t="shared" si="7"/>
        <v>7</v>
      </c>
      <c r="H54" s="20">
        <f t="shared" si="7"/>
        <v>7</v>
      </c>
      <c r="I54" s="45">
        <f>6+1+1</f>
        <v>8</v>
      </c>
      <c r="J54" s="20">
        <f t="shared" si="7"/>
        <v>7</v>
      </c>
      <c r="K54" s="20">
        <f t="shared" si="7"/>
        <v>7</v>
      </c>
      <c r="L54" s="20">
        <f t="shared" si="7"/>
        <v>7</v>
      </c>
      <c r="M54" s="45">
        <f>6+1+1</f>
        <v>8</v>
      </c>
      <c r="N54" s="20">
        <f t="shared" si="7"/>
        <v>7</v>
      </c>
      <c r="O54" s="20">
        <f t="shared" si="7"/>
        <v>7</v>
      </c>
      <c r="P54" s="45">
        <f>6+1+1</f>
        <v>8</v>
      </c>
      <c r="Q54" s="20">
        <f>5+1+1</f>
        <v>7</v>
      </c>
      <c r="T54" s="188"/>
      <c r="U54" s="188"/>
      <c r="V54" s="188"/>
      <c r="W54" s="188"/>
    </row>
    <row r="55" spans="1:23" ht="30.75" customHeight="1" x14ac:dyDescent="0.25">
      <c r="A55" s="23" t="s">
        <v>342</v>
      </c>
      <c r="B55" s="14" t="s">
        <v>341</v>
      </c>
      <c r="C55" s="57" t="s">
        <v>282</v>
      </c>
      <c r="D55" s="21">
        <f>1+1</f>
        <v>2</v>
      </c>
      <c r="E55" s="21">
        <f>1</f>
        <v>1</v>
      </c>
      <c r="F55" s="21">
        <f>1</f>
        <v>1</v>
      </c>
      <c r="G55" s="43">
        <f>1+1</f>
        <v>2</v>
      </c>
      <c r="H55" s="43">
        <f>1</f>
        <v>1</v>
      </c>
      <c r="I55" s="43">
        <f>1</f>
        <v>1</v>
      </c>
      <c r="J55" s="43">
        <f>1</f>
        <v>1</v>
      </c>
      <c r="K55" s="43">
        <f>1</f>
        <v>1</v>
      </c>
      <c r="L55" s="43">
        <f>1</f>
        <v>1</v>
      </c>
      <c r="M55" s="43">
        <f>1+1</f>
        <v>2</v>
      </c>
      <c r="N55" s="43">
        <f>1</f>
        <v>1</v>
      </c>
      <c r="O55" s="43">
        <f>1</f>
        <v>1</v>
      </c>
      <c r="P55" s="43">
        <f>1+1</f>
        <v>2</v>
      </c>
      <c r="Q55" s="43">
        <f>1+1</f>
        <v>2</v>
      </c>
      <c r="T55" s="188"/>
      <c r="U55" s="188"/>
      <c r="V55" s="188"/>
      <c r="W55" s="188"/>
    </row>
    <row r="56" spans="1:23" ht="30.75" customHeight="1" x14ac:dyDescent="0.25">
      <c r="A56" s="23" t="s">
        <v>1138</v>
      </c>
      <c r="B56" s="14" t="s">
        <v>1139</v>
      </c>
      <c r="C56" s="23"/>
      <c r="D56" s="21"/>
      <c r="E56" s="21"/>
      <c r="F56" s="21"/>
      <c r="G56" s="43"/>
      <c r="H56" s="43"/>
      <c r="I56" s="43"/>
      <c r="J56" s="21"/>
      <c r="K56" s="21"/>
      <c r="L56" s="21"/>
      <c r="M56" s="21"/>
      <c r="N56" s="21"/>
      <c r="O56" s="21"/>
      <c r="P56" s="21"/>
      <c r="Q56" s="20"/>
      <c r="T56" s="188"/>
      <c r="U56" s="188"/>
      <c r="V56" s="188"/>
      <c r="W56" s="188"/>
    </row>
    <row r="57" spans="1:23" ht="30.75" customHeight="1" x14ac:dyDescent="0.25">
      <c r="A57" s="23" t="s">
        <v>1141</v>
      </c>
      <c r="B57" s="14" t="s">
        <v>1140</v>
      </c>
      <c r="C57" s="23" t="s">
        <v>282</v>
      </c>
      <c r="D57" s="21"/>
      <c r="E57" s="21"/>
      <c r="F57" s="21"/>
      <c r="G57" s="43"/>
      <c r="H57" s="43"/>
      <c r="I57" s="43"/>
      <c r="J57" s="21"/>
      <c r="K57" s="21"/>
      <c r="L57" s="21"/>
      <c r="M57" s="21"/>
      <c r="N57" s="21"/>
      <c r="O57" s="21"/>
      <c r="P57" s="21"/>
      <c r="Q57" s="20"/>
      <c r="T57" s="188"/>
      <c r="U57" s="188"/>
      <c r="V57" s="188"/>
      <c r="W57" s="188"/>
    </row>
    <row r="58" spans="1:23" ht="30.75" customHeight="1" x14ac:dyDescent="0.25">
      <c r="A58" s="23" t="s">
        <v>43</v>
      </c>
      <c r="B58" s="14" t="s">
        <v>44</v>
      </c>
      <c r="C58" s="23"/>
      <c r="D58" s="21"/>
      <c r="E58" s="21"/>
      <c r="F58" s="21"/>
      <c r="G58" s="43"/>
      <c r="H58" s="43"/>
      <c r="I58" s="43"/>
      <c r="J58" s="21"/>
      <c r="K58" s="21"/>
      <c r="L58" s="21"/>
      <c r="M58" s="21"/>
      <c r="N58" s="21"/>
      <c r="O58" s="21"/>
      <c r="P58" s="21"/>
      <c r="Q58" s="20"/>
      <c r="T58" s="188"/>
      <c r="U58" s="188"/>
      <c r="V58" s="188"/>
      <c r="W58" s="188"/>
    </row>
    <row r="59" spans="1:23" ht="21" customHeight="1" x14ac:dyDescent="0.25">
      <c r="A59" s="23" t="s">
        <v>1143</v>
      </c>
      <c r="B59" s="14" t="s">
        <v>1142</v>
      </c>
      <c r="C59" s="23" t="s">
        <v>282</v>
      </c>
      <c r="D59" s="21"/>
      <c r="E59" s="21"/>
      <c r="F59" s="21"/>
      <c r="G59" s="43"/>
      <c r="H59" s="43"/>
      <c r="I59" s="43"/>
      <c r="J59" s="21"/>
      <c r="K59" s="21"/>
      <c r="L59" s="21"/>
      <c r="M59" s="21"/>
      <c r="N59" s="21"/>
      <c r="O59" s="21"/>
      <c r="P59" s="21"/>
      <c r="Q59" s="20"/>
      <c r="T59" s="188"/>
      <c r="U59" s="188"/>
      <c r="V59" s="188"/>
      <c r="W59" s="188"/>
    </row>
    <row r="60" spans="1:23" ht="24" customHeight="1" x14ac:dyDescent="0.25">
      <c r="A60" s="23" t="s">
        <v>1145</v>
      </c>
      <c r="B60" s="14" t="s">
        <v>1144</v>
      </c>
      <c r="C60" s="23" t="s">
        <v>282</v>
      </c>
      <c r="D60" s="21"/>
      <c r="E60" s="21"/>
      <c r="F60" s="21"/>
      <c r="G60" s="43"/>
      <c r="H60" s="43"/>
      <c r="I60" s="43"/>
      <c r="J60" s="21"/>
      <c r="K60" s="21"/>
      <c r="L60" s="21"/>
      <c r="M60" s="21"/>
      <c r="N60" s="21"/>
      <c r="O60" s="21"/>
      <c r="P60" s="21"/>
      <c r="Q60" s="20"/>
      <c r="T60" s="188"/>
      <c r="U60" s="188"/>
      <c r="V60" s="188"/>
      <c r="W60" s="188"/>
    </row>
    <row r="61" spans="1:23" ht="30" customHeight="1" x14ac:dyDescent="0.25">
      <c r="A61" s="14" t="s">
        <v>20</v>
      </c>
      <c r="B61" s="270" t="s">
        <v>21</v>
      </c>
      <c r="C61" s="271"/>
      <c r="D61" s="21"/>
      <c r="E61" s="21"/>
      <c r="F61" s="21"/>
      <c r="G61" s="43"/>
      <c r="H61" s="43"/>
      <c r="I61" s="43"/>
      <c r="J61" s="21"/>
      <c r="K61" s="21"/>
      <c r="L61" s="21"/>
      <c r="M61" s="21"/>
      <c r="N61" s="21"/>
      <c r="O61" s="21"/>
      <c r="P61" s="21"/>
      <c r="Q61" s="20"/>
      <c r="T61" s="188"/>
      <c r="U61" s="188"/>
      <c r="V61" s="188"/>
      <c r="W61" s="188"/>
    </row>
    <row r="62" spans="1:23" x14ac:dyDescent="0.25">
      <c r="A62" s="23" t="s">
        <v>225</v>
      </c>
      <c r="B62" s="14" t="s">
        <v>226</v>
      </c>
      <c r="C62" s="57" t="s">
        <v>282</v>
      </c>
      <c r="D62" s="21">
        <f>1+1</f>
        <v>2</v>
      </c>
      <c r="E62" s="21">
        <f>1+3+3+5</f>
        <v>12</v>
      </c>
      <c r="F62" s="43">
        <f>2+2+5</f>
        <v>9</v>
      </c>
      <c r="G62" s="43">
        <f>2+2+2</f>
        <v>6</v>
      </c>
      <c r="H62" s="43">
        <f>2+2+2</f>
        <v>6</v>
      </c>
      <c r="I62" s="43">
        <f>2+2+2</f>
        <v>6</v>
      </c>
      <c r="J62" s="21">
        <f>1+2+2+2</f>
        <v>7</v>
      </c>
      <c r="K62" s="21">
        <f t="shared" ref="K62:P62" si="8">2+2+2</f>
        <v>6</v>
      </c>
      <c r="L62" s="21">
        <f t="shared" si="8"/>
        <v>6</v>
      </c>
      <c r="M62" s="21">
        <f t="shared" si="8"/>
        <v>6</v>
      </c>
      <c r="N62" s="21">
        <f t="shared" si="8"/>
        <v>6</v>
      </c>
      <c r="O62" s="21">
        <f t="shared" si="8"/>
        <v>6</v>
      </c>
      <c r="P62" s="21">
        <f t="shared" si="8"/>
        <v>6</v>
      </c>
      <c r="Q62" s="21">
        <f>1+2+2+2</f>
        <v>7</v>
      </c>
      <c r="T62" s="188"/>
      <c r="U62" s="188"/>
      <c r="V62" s="188"/>
      <c r="W62" s="188"/>
    </row>
    <row r="63" spans="1:23" ht="17.25" customHeight="1" x14ac:dyDescent="0.25">
      <c r="A63" s="23" t="s">
        <v>164</v>
      </c>
      <c r="B63" s="14" t="s">
        <v>126</v>
      </c>
      <c r="C63" s="14" t="str">
        <f>$C$29</f>
        <v>Бакалавр</v>
      </c>
      <c r="D63" s="45">
        <f>1</f>
        <v>1</v>
      </c>
      <c r="E63" s="21">
        <f>2</f>
        <v>2</v>
      </c>
      <c r="F63" s="21">
        <f>1+2</f>
        <v>3</v>
      </c>
      <c r="G63" s="21">
        <f>2</f>
        <v>2</v>
      </c>
      <c r="H63" s="21">
        <f>2</f>
        <v>2</v>
      </c>
      <c r="I63" s="21">
        <f>2</f>
        <v>2</v>
      </c>
      <c r="J63" s="21">
        <f>2</f>
        <v>2</v>
      </c>
      <c r="K63" s="21">
        <f>1+2</f>
        <v>3</v>
      </c>
      <c r="L63" s="21">
        <f>2</f>
        <v>2</v>
      </c>
      <c r="M63" s="21">
        <f>2</f>
        <v>2</v>
      </c>
      <c r="N63" s="21">
        <f>1+2</f>
        <v>3</v>
      </c>
      <c r="O63" s="21">
        <f>2</f>
        <v>2</v>
      </c>
      <c r="P63" s="21">
        <f>2</f>
        <v>2</v>
      </c>
      <c r="Q63" s="21">
        <f>2</f>
        <v>2</v>
      </c>
      <c r="T63" s="188"/>
      <c r="U63" s="188"/>
      <c r="V63" s="188"/>
      <c r="W63" s="188"/>
    </row>
    <row r="64" spans="1:23" x14ac:dyDescent="0.25">
      <c r="A64" s="23" t="s">
        <v>343</v>
      </c>
      <c r="B64" s="14" t="s">
        <v>344</v>
      </c>
      <c r="C64" s="62"/>
      <c r="D64" s="25"/>
      <c r="E64" s="25"/>
      <c r="F64" s="25"/>
      <c r="G64" s="46"/>
      <c r="H64" s="46"/>
      <c r="I64" s="46"/>
      <c r="J64" s="25"/>
      <c r="K64" s="25"/>
      <c r="L64" s="25"/>
      <c r="M64" s="25"/>
      <c r="N64" s="25"/>
      <c r="O64" s="25"/>
      <c r="P64" s="25"/>
      <c r="Q64" s="20"/>
      <c r="T64" s="188"/>
      <c r="U64" s="188"/>
      <c r="V64" s="188"/>
      <c r="W64" s="188"/>
    </row>
    <row r="65" spans="1:23" x14ac:dyDescent="0.25">
      <c r="A65" s="23" t="s">
        <v>346</v>
      </c>
      <c r="B65" s="14" t="s">
        <v>345</v>
      </c>
      <c r="C65" s="54" t="str">
        <f>$C$29</f>
        <v>Бакалавр</v>
      </c>
      <c r="D65" s="25">
        <f>1</f>
        <v>1</v>
      </c>
      <c r="E65" s="25">
        <f>1</f>
        <v>1</v>
      </c>
      <c r="F65" s="25">
        <f>1</f>
        <v>1</v>
      </c>
      <c r="G65" s="46">
        <f>2</f>
        <v>2</v>
      </c>
      <c r="H65" s="46"/>
      <c r="I65" s="46">
        <f>2</f>
        <v>2</v>
      </c>
      <c r="J65" s="25"/>
      <c r="K65" s="25">
        <f>2</f>
        <v>2</v>
      </c>
      <c r="L65" s="25"/>
      <c r="M65" s="25">
        <f>2</f>
        <v>2</v>
      </c>
      <c r="N65" s="25">
        <f>1</f>
        <v>1</v>
      </c>
      <c r="O65" s="25">
        <f>2</f>
        <v>2</v>
      </c>
      <c r="P65" s="25">
        <f>1</f>
        <v>1</v>
      </c>
      <c r="Q65" s="20">
        <f>1</f>
        <v>1</v>
      </c>
      <c r="T65" s="188"/>
      <c r="U65" s="188"/>
      <c r="V65" s="188"/>
      <c r="W65" s="188"/>
    </row>
    <row r="66" spans="1:23" x14ac:dyDescent="0.25">
      <c r="A66" s="23" t="s">
        <v>219</v>
      </c>
      <c r="B66" s="14" t="s">
        <v>218</v>
      </c>
      <c r="C66" s="54" t="str">
        <f>$C$29</f>
        <v>Бакалавр</v>
      </c>
      <c r="D66" s="20"/>
      <c r="E66" s="20">
        <f>1+4</f>
        <v>5</v>
      </c>
      <c r="F66" s="20">
        <f>3</f>
        <v>3</v>
      </c>
      <c r="G66" s="45">
        <f>1+4</f>
        <v>5</v>
      </c>
      <c r="H66" s="45">
        <f>2</f>
        <v>2</v>
      </c>
      <c r="I66" s="45">
        <f>2</f>
        <v>2</v>
      </c>
      <c r="J66" s="20"/>
      <c r="K66" s="20">
        <f>1</f>
        <v>1</v>
      </c>
      <c r="L66" s="20">
        <f>3</f>
        <v>3</v>
      </c>
      <c r="M66" s="20">
        <f>2</f>
        <v>2</v>
      </c>
      <c r="N66" s="20">
        <f>1</f>
        <v>1</v>
      </c>
      <c r="O66" s="20">
        <f>1</f>
        <v>1</v>
      </c>
      <c r="P66" s="20">
        <f>2</f>
        <v>2</v>
      </c>
      <c r="Q66" s="20">
        <f>2</f>
        <v>2</v>
      </c>
      <c r="T66" s="188"/>
      <c r="U66" s="188"/>
      <c r="V66" s="188"/>
      <c r="W66" s="188"/>
    </row>
    <row r="67" spans="1:23" ht="14.25" customHeight="1" x14ac:dyDescent="0.25">
      <c r="A67" s="23" t="s">
        <v>347</v>
      </c>
      <c r="B67" s="270" t="s">
        <v>348</v>
      </c>
      <c r="C67" s="271"/>
      <c r="D67" s="28"/>
      <c r="E67" s="28"/>
      <c r="F67" s="28"/>
      <c r="G67" s="47"/>
      <c r="H67" s="47"/>
      <c r="I67" s="47"/>
      <c r="J67" s="28"/>
      <c r="K67" s="28"/>
      <c r="L67" s="28"/>
      <c r="M67" s="28"/>
      <c r="N67" s="28"/>
      <c r="O67" s="28"/>
      <c r="P67" s="28"/>
      <c r="Q67" s="20"/>
      <c r="T67" s="188"/>
      <c r="U67" s="188"/>
      <c r="V67" s="188"/>
      <c r="W67" s="188"/>
    </row>
    <row r="68" spans="1:23" x14ac:dyDescent="0.25">
      <c r="A68" s="23" t="s">
        <v>349</v>
      </c>
      <c r="B68" s="24" t="s">
        <v>350</v>
      </c>
      <c r="C68" s="54" t="str">
        <f>$C$29</f>
        <v>Бакалавр</v>
      </c>
      <c r="D68" s="28">
        <f>1</f>
        <v>1</v>
      </c>
      <c r="E68" s="28">
        <f>1</f>
        <v>1</v>
      </c>
      <c r="F68" s="28">
        <f>1</f>
        <v>1</v>
      </c>
      <c r="G68" s="28"/>
      <c r="H68" s="28">
        <f>1</f>
        <v>1</v>
      </c>
      <c r="I68" s="28"/>
      <c r="J68" s="28">
        <f>1</f>
        <v>1</v>
      </c>
      <c r="K68" s="28"/>
      <c r="L68" s="28">
        <f>1</f>
        <v>1</v>
      </c>
      <c r="M68" s="28"/>
      <c r="N68" s="28">
        <f>1</f>
        <v>1</v>
      </c>
      <c r="O68" s="28"/>
      <c r="P68" s="28">
        <f>1</f>
        <v>1</v>
      </c>
      <c r="Q68" s="28"/>
      <c r="T68" s="188"/>
      <c r="U68" s="188"/>
      <c r="V68" s="188"/>
      <c r="W68" s="188"/>
    </row>
    <row r="69" spans="1:23" x14ac:dyDescent="0.25">
      <c r="A69" s="23" t="s">
        <v>351</v>
      </c>
      <c r="B69" s="24" t="s">
        <v>352</v>
      </c>
      <c r="C69" s="54" t="str">
        <f>$C$29</f>
        <v>Бакалавр</v>
      </c>
      <c r="D69" s="28">
        <f>2</f>
        <v>2</v>
      </c>
      <c r="E69" s="28">
        <f>2</f>
        <v>2</v>
      </c>
      <c r="F69" s="28"/>
      <c r="G69" s="47">
        <f>1</f>
        <v>1</v>
      </c>
      <c r="H69" s="47">
        <f>1</f>
        <v>1</v>
      </c>
      <c r="I69" s="47"/>
      <c r="J69" s="28">
        <f>1</f>
        <v>1</v>
      </c>
      <c r="K69" s="28">
        <f>1</f>
        <v>1</v>
      </c>
      <c r="L69" s="28"/>
      <c r="M69" s="28"/>
      <c r="N69" s="28">
        <f>1</f>
        <v>1</v>
      </c>
      <c r="O69" s="28"/>
      <c r="P69" s="28">
        <f>1</f>
        <v>1</v>
      </c>
      <c r="Q69" s="20">
        <f>1</f>
        <v>1</v>
      </c>
      <c r="T69" s="188"/>
      <c r="U69" s="188"/>
      <c r="V69" s="188"/>
      <c r="W69" s="188"/>
    </row>
    <row r="70" spans="1:23" ht="30" customHeight="1" x14ac:dyDescent="0.25">
      <c r="A70" s="23" t="s">
        <v>353</v>
      </c>
      <c r="B70" s="270" t="s">
        <v>354</v>
      </c>
      <c r="C70" s="271"/>
      <c r="D70" s="28"/>
      <c r="E70" s="28"/>
      <c r="F70" s="28"/>
      <c r="G70" s="47"/>
      <c r="H70" s="47"/>
      <c r="I70" s="47"/>
      <c r="J70" s="28"/>
      <c r="K70" s="28"/>
      <c r="L70" s="28"/>
      <c r="M70" s="28"/>
      <c r="N70" s="28"/>
      <c r="O70" s="28"/>
      <c r="P70" s="28"/>
      <c r="Q70" s="20"/>
      <c r="T70" s="188"/>
      <c r="U70" s="188"/>
      <c r="V70" s="188"/>
      <c r="W70" s="188"/>
    </row>
    <row r="71" spans="1:23" ht="30" x14ac:dyDescent="0.25">
      <c r="A71" s="23" t="s">
        <v>355</v>
      </c>
      <c r="B71" s="24" t="s">
        <v>356</v>
      </c>
      <c r="C71" s="54" t="str">
        <f>$C$29</f>
        <v>Бакалавр</v>
      </c>
      <c r="D71" s="28">
        <f>1</f>
        <v>1</v>
      </c>
      <c r="E71" s="28"/>
      <c r="F71" s="28"/>
      <c r="G71" s="47">
        <f>1</f>
        <v>1</v>
      </c>
      <c r="H71" s="47"/>
      <c r="I71" s="47"/>
      <c r="J71" s="28">
        <f>1</f>
        <v>1</v>
      </c>
      <c r="K71" s="28"/>
      <c r="L71" s="28">
        <f>1</f>
        <v>1</v>
      </c>
      <c r="M71" s="28"/>
      <c r="N71" s="28">
        <f>1</f>
        <v>1</v>
      </c>
      <c r="O71" s="28"/>
      <c r="P71" s="28">
        <f>1</f>
        <v>1</v>
      </c>
      <c r="Q71" s="20">
        <f>1</f>
        <v>1</v>
      </c>
      <c r="T71" s="188"/>
      <c r="U71" s="188"/>
      <c r="V71" s="188"/>
      <c r="W71" s="188"/>
    </row>
    <row r="72" spans="1:23" x14ac:dyDescent="0.25">
      <c r="A72" s="31" t="s">
        <v>115</v>
      </c>
      <c r="B72" s="24" t="s">
        <v>109</v>
      </c>
      <c r="C72" s="34"/>
      <c r="D72" s="20"/>
      <c r="E72" s="20"/>
      <c r="F72" s="20"/>
      <c r="G72" s="45"/>
      <c r="H72" s="45"/>
      <c r="I72" s="45"/>
      <c r="J72" s="20"/>
      <c r="K72" s="20"/>
      <c r="L72" s="20"/>
      <c r="M72" s="20"/>
      <c r="N72" s="20"/>
      <c r="O72" s="20"/>
      <c r="P72" s="20"/>
      <c r="Q72" s="20"/>
      <c r="T72" s="188"/>
      <c r="U72" s="188"/>
      <c r="V72" s="188"/>
      <c r="W72" s="188"/>
    </row>
    <row r="73" spans="1:23" x14ac:dyDescent="0.25">
      <c r="A73" s="23" t="s">
        <v>159</v>
      </c>
      <c r="B73" s="29" t="s">
        <v>162</v>
      </c>
      <c r="C73" s="14" t="str">
        <f>$C$29</f>
        <v>Бакалавр</v>
      </c>
      <c r="D73" s="20">
        <f>2</f>
        <v>2</v>
      </c>
      <c r="E73" s="20">
        <f>1</f>
        <v>1</v>
      </c>
      <c r="F73" s="21">
        <f>1</f>
        <v>1</v>
      </c>
      <c r="G73" s="21">
        <f>2</f>
        <v>2</v>
      </c>
      <c r="H73" s="21">
        <f>1</f>
        <v>1</v>
      </c>
      <c r="I73" s="21">
        <f>1</f>
        <v>1</v>
      </c>
      <c r="J73" s="21">
        <f>1</f>
        <v>1</v>
      </c>
      <c r="K73" s="21">
        <f>2</f>
        <v>2</v>
      </c>
      <c r="L73" s="20">
        <f>2</f>
        <v>2</v>
      </c>
      <c r="M73" s="20">
        <f>1</f>
        <v>1</v>
      </c>
      <c r="N73" s="25">
        <f>1</f>
        <v>1</v>
      </c>
      <c r="O73" s="25">
        <f>2</f>
        <v>2</v>
      </c>
      <c r="P73" s="25">
        <f>2</f>
        <v>2</v>
      </c>
      <c r="Q73" s="20">
        <f>1</f>
        <v>1</v>
      </c>
      <c r="T73" s="188"/>
      <c r="U73" s="188"/>
      <c r="V73" s="188"/>
      <c r="W73" s="188"/>
    </row>
    <row r="74" spans="1:23" x14ac:dyDescent="0.25">
      <c r="A74" s="23" t="s">
        <v>160</v>
      </c>
      <c r="B74" s="14" t="s">
        <v>163</v>
      </c>
      <c r="C74" s="54" t="str">
        <f>$C$29</f>
        <v>Бакалавр</v>
      </c>
      <c r="D74" s="20">
        <f>2</f>
        <v>2</v>
      </c>
      <c r="E74" s="20">
        <f>2</f>
        <v>2</v>
      </c>
      <c r="F74" s="20">
        <f>2</f>
        <v>2</v>
      </c>
      <c r="G74" s="20">
        <f>2</f>
        <v>2</v>
      </c>
      <c r="H74" s="21">
        <f>1</f>
        <v>1</v>
      </c>
      <c r="I74" s="21">
        <f>1</f>
        <v>1</v>
      </c>
      <c r="J74" s="20">
        <f>2</f>
        <v>2</v>
      </c>
      <c r="K74" s="20">
        <f>1</f>
        <v>1</v>
      </c>
      <c r="L74" s="20">
        <f>1</f>
        <v>1</v>
      </c>
      <c r="M74" s="20">
        <f>2</f>
        <v>2</v>
      </c>
      <c r="N74" s="20">
        <f>1</f>
        <v>1</v>
      </c>
      <c r="O74" s="20">
        <f>2</f>
        <v>2</v>
      </c>
      <c r="P74" s="20">
        <f>1</f>
        <v>1</v>
      </c>
      <c r="Q74" s="20">
        <f>2</f>
        <v>2</v>
      </c>
      <c r="T74" s="188"/>
      <c r="U74" s="188"/>
      <c r="V74" s="188"/>
      <c r="W74" s="188"/>
    </row>
    <row r="75" spans="1:23" x14ac:dyDescent="0.25">
      <c r="A75" s="23" t="s">
        <v>161</v>
      </c>
      <c r="B75" s="24" t="s">
        <v>110</v>
      </c>
      <c r="C75" s="54" t="str">
        <f>$C$29</f>
        <v>Бакалавр</v>
      </c>
      <c r="D75" s="21"/>
      <c r="E75" s="43"/>
      <c r="F75" s="43"/>
      <c r="G75" s="43"/>
      <c r="H75" s="21"/>
      <c r="I75" s="21"/>
      <c r="J75" s="21"/>
      <c r="K75" s="21"/>
      <c r="L75" s="21"/>
      <c r="M75" s="21"/>
      <c r="N75" s="21"/>
      <c r="O75" s="20"/>
      <c r="P75" s="20"/>
      <c r="Q75" s="20"/>
      <c r="T75" s="188"/>
      <c r="U75" s="188"/>
      <c r="V75" s="188"/>
      <c r="W75" s="188"/>
    </row>
    <row r="76" spans="1:23" x14ac:dyDescent="0.25">
      <c r="A76" s="31" t="s">
        <v>114</v>
      </c>
      <c r="B76" s="14" t="s">
        <v>111</v>
      </c>
      <c r="C76" s="54" t="str">
        <f>$C$29</f>
        <v>Бакалавр</v>
      </c>
      <c r="D76" s="20"/>
      <c r="E76" s="20">
        <f>1</f>
        <v>1</v>
      </c>
      <c r="F76" s="20">
        <f>1</f>
        <v>1</v>
      </c>
      <c r="G76" s="20">
        <f>1</f>
        <v>1</v>
      </c>
      <c r="H76" s="20">
        <f>1</f>
        <v>1</v>
      </c>
      <c r="I76" s="20">
        <f>1</f>
        <v>1</v>
      </c>
      <c r="J76" s="20">
        <f>1</f>
        <v>1</v>
      </c>
      <c r="K76" s="20">
        <f>1</f>
        <v>1</v>
      </c>
      <c r="L76" s="20">
        <f>1</f>
        <v>1</v>
      </c>
      <c r="M76" s="20">
        <f>1</f>
        <v>1</v>
      </c>
      <c r="N76" s="20">
        <f>1</f>
        <v>1</v>
      </c>
      <c r="O76" s="20">
        <f>1</f>
        <v>1</v>
      </c>
      <c r="P76" s="20">
        <f>1</f>
        <v>1</v>
      </c>
      <c r="Q76" s="20">
        <f>1</f>
        <v>1</v>
      </c>
      <c r="T76" s="188"/>
      <c r="U76" s="188"/>
      <c r="V76" s="188"/>
      <c r="W76" s="188"/>
    </row>
    <row r="77" spans="1:23" x14ac:dyDescent="0.25">
      <c r="A77" s="31" t="s">
        <v>357</v>
      </c>
      <c r="B77" s="14" t="s">
        <v>358</v>
      </c>
      <c r="C77" s="14"/>
      <c r="D77" s="20"/>
      <c r="E77" s="20"/>
      <c r="F77" s="20"/>
      <c r="G77" s="45"/>
      <c r="H77" s="45"/>
      <c r="I77" s="45"/>
      <c r="J77" s="20"/>
      <c r="K77" s="20"/>
      <c r="L77" s="20"/>
      <c r="M77" s="20"/>
      <c r="N77" s="20"/>
      <c r="O77" s="20"/>
      <c r="P77" s="20"/>
      <c r="Q77" s="20"/>
      <c r="T77" s="188"/>
      <c r="U77" s="188"/>
      <c r="V77" s="188"/>
      <c r="W77" s="188"/>
    </row>
    <row r="78" spans="1:23" ht="30" x14ac:dyDescent="0.25">
      <c r="A78" s="23" t="s">
        <v>362</v>
      </c>
      <c r="B78" s="14" t="s">
        <v>1125</v>
      </c>
      <c r="C78" s="14" t="s">
        <v>282</v>
      </c>
      <c r="D78" s="20">
        <f>5+1</f>
        <v>6</v>
      </c>
      <c r="E78" s="20">
        <f>5+2</f>
        <v>7</v>
      </c>
      <c r="F78" s="20">
        <f t="shared" ref="F78:H78" si="9">5+2</f>
        <v>7</v>
      </c>
      <c r="G78" s="20">
        <f t="shared" si="9"/>
        <v>7</v>
      </c>
      <c r="H78" s="20">
        <f t="shared" si="9"/>
        <v>7</v>
      </c>
      <c r="I78" s="20">
        <f>5+3</f>
        <v>8</v>
      </c>
      <c r="J78" s="20">
        <f t="shared" ref="J78:N78" si="10">5+3</f>
        <v>8</v>
      </c>
      <c r="K78" s="20">
        <f t="shared" si="10"/>
        <v>8</v>
      </c>
      <c r="L78" s="20">
        <f t="shared" si="10"/>
        <v>8</v>
      </c>
      <c r="M78" s="20">
        <f t="shared" si="10"/>
        <v>8</v>
      </c>
      <c r="N78" s="20">
        <f t="shared" si="10"/>
        <v>8</v>
      </c>
      <c r="O78" s="20">
        <f>5+4</f>
        <v>9</v>
      </c>
      <c r="P78" s="20">
        <f>5+4</f>
        <v>9</v>
      </c>
      <c r="Q78" s="20">
        <f>5</f>
        <v>5</v>
      </c>
      <c r="T78" s="188"/>
      <c r="U78" s="188"/>
      <c r="V78" s="188"/>
      <c r="W78" s="188"/>
    </row>
    <row r="79" spans="1:23" x14ac:dyDescent="0.25">
      <c r="A79" s="23" t="s">
        <v>363</v>
      </c>
      <c r="B79" s="14" t="s">
        <v>360</v>
      </c>
      <c r="C79" s="14" t="s">
        <v>282</v>
      </c>
      <c r="D79" s="20">
        <f>5+5</f>
        <v>10</v>
      </c>
      <c r="E79" s="20">
        <f t="shared" ref="E79:Q79" si="11">5+5</f>
        <v>10</v>
      </c>
      <c r="F79" s="20">
        <f t="shared" si="11"/>
        <v>10</v>
      </c>
      <c r="G79" s="20">
        <f t="shared" si="11"/>
        <v>10</v>
      </c>
      <c r="H79" s="20">
        <f t="shared" si="11"/>
        <v>10</v>
      </c>
      <c r="I79" s="20">
        <f t="shared" si="11"/>
        <v>10</v>
      </c>
      <c r="J79" s="20">
        <f t="shared" si="11"/>
        <v>10</v>
      </c>
      <c r="K79" s="20">
        <f t="shared" si="11"/>
        <v>10</v>
      </c>
      <c r="L79" s="20">
        <f t="shared" si="11"/>
        <v>10</v>
      </c>
      <c r="M79" s="20">
        <f t="shared" si="11"/>
        <v>10</v>
      </c>
      <c r="N79" s="20">
        <f t="shared" si="11"/>
        <v>10</v>
      </c>
      <c r="O79" s="20">
        <f t="shared" si="11"/>
        <v>10</v>
      </c>
      <c r="P79" s="20">
        <f t="shared" si="11"/>
        <v>10</v>
      </c>
      <c r="Q79" s="20">
        <f t="shared" si="11"/>
        <v>10</v>
      </c>
      <c r="T79" s="188"/>
      <c r="U79" s="188"/>
      <c r="V79" s="188"/>
      <c r="W79" s="188"/>
    </row>
    <row r="80" spans="1:23" ht="30" x14ac:dyDescent="0.25">
      <c r="A80" s="23" t="s">
        <v>364</v>
      </c>
      <c r="B80" s="14" t="s">
        <v>1126</v>
      </c>
      <c r="C80" s="55" t="s">
        <v>282</v>
      </c>
      <c r="D80" s="20">
        <f>5+3+10</f>
        <v>18</v>
      </c>
      <c r="E80" s="20">
        <f>5+3+15</f>
        <v>23</v>
      </c>
      <c r="F80" s="20">
        <f>5+3+15</f>
        <v>23</v>
      </c>
      <c r="G80" s="20">
        <f>5+3+20</f>
        <v>28</v>
      </c>
      <c r="H80" s="20">
        <f t="shared" ref="H80:I80" si="12">5+3+20</f>
        <v>28</v>
      </c>
      <c r="I80" s="20">
        <f t="shared" si="12"/>
        <v>28</v>
      </c>
      <c r="J80" s="20">
        <f>5+3+30</f>
        <v>38</v>
      </c>
      <c r="K80" s="20">
        <f t="shared" ref="K80:M80" si="13">5+3+30</f>
        <v>38</v>
      </c>
      <c r="L80" s="20">
        <f t="shared" si="13"/>
        <v>38</v>
      </c>
      <c r="M80" s="20">
        <f t="shared" si="13"/>
        <v>38</v>
      </c>
      <c r="N80" s="20">
        <f>5+3+40</f>
        <v>48</v>
      </c>
      <c r="O80" s="20">
        <f t="shared" ref="O80:P80" si="14">5+3+40</f>
        <v>48</v>
      </c>
      <c r="P80" s="20">
        <f t="shared" si="14"/>
        <v>48</v>
      </c>
      <c r="Q80" s="20">
        <f>5+3+50</f>
        <v>58</v>
      </c>
      <c r="T80" s="188"/>
      <c r="U80" s="188"/>
      <c r="V80" s="188"/>
      <c r="W80" s="188"/>
    </row>
    <row r="81" spans="1:23" ht="28.5" customHeight="1" x14ac:dyDescent="0.25">
      <c r="A81" s="261" t="s">
        <v>1191</v>
      </c>
      <c r="B81" s="261"/>
      <c r="C81" s="14"/>
      <c r="D81" s="64">
        <f>SUM(D28:D80)</f>
        <v>1652</v>
      </c>
      <c r="E81" s="64">
        <f t="shared" ref="E81:P81" si="15">SUM(E28:E80)</f>
        <v>1758</v>
      </c>
      <c r="F81" s="64">
        <f t="shared" si="15"/>
        <v>1810</v>
      </c>
      <c r="G81" s="64">
        <f t="shared" si="15"/>
        <v>1855</v>
      </c>
      <c r="H81" s="64">
        <f t="shared" si="15"/>
        <v>1885</v>
      </c>
      <c r="I81" s="64">
        <f t="shared" si="15"/>
        <v>1931</v>
      </c>
      <c r="J81" s="64">
        <f t="shared" si="15"/>
        <v>1994</v>
      </c>
      <c r="K81" s="64">
        <f t="shared" si="15"/>
        <v>2046</v>
      </c>
      <c r="L81" s="64">
        <f t="shared" si="15"/>
        <v>2112</v>
      </c>
      <c r="M81" s="64">
        <f t="shared" si="15"/>
        <v>2153</v>
      </c>
      <c r="N81" s="64">
        <f t="shared" si="15"/>
        <v>2217</v>
      </c>
      <c r="O81" s="64">
        <f t="shared" si="15"/>
        <v>2271</v>
      </c>
      <c r="P81" s="64">
        <f t="shared" si="15"/>
        <v>2331</v>
      </c>
      <c r="Q81" s="64">
        <f>SUM(Q28:Q80)</f>
        <v>2396</v>
      </c>
      <c r="T81" s="188"/>
      <c r="U81" s="188"/>
      <c r="V81" s="188"/>
      <c r="W81" s="188"/>
    </row>
    <row r="82" spans="1:23" x14ac:dyDescent="0.25">
      <c r="A82" s="289" t="s">
        <v>36</v>
      </c>
      <c r="B82" s="290"/>
      <c r="C82" s="291"/>
      <c r="D82" s="20"/>
      <c r="E82" s="30"/>
      <c r="F82" s="30"/>
      <c r="G82" s="48"/>
      <c r="H82" s="48"/>
      <c r="I82" s="48"/>
      <c r="J82" s="30"/>
      <c r="K82" s="30"/>
      <c r="L82" s="30"/>
      <c r="M82" s="30"/>
      <c r="N82" s="30"/>
      <c r="O82" s="30"/>
      <c r="P82" s="30"/>
      <c r="Q82" s="20"/>
      <c r="T82" s="188"/>
      <c r="U82" s="188"/>
      <c r="V82" s="188"/>
      <c r="W82" s="188"/>
    </row>
    <row r="83" spans="1:23" x14ac:dyDescent="0.25">
      <c r="A83" s="31" t="s">
        <v>16</v>
      </c>
      <c r="B83" s="31" t="s">
        <v>17</v>
      </c>
      <c r="C83" s="192"/>
      <c r="D83" s="30"/>
      <c r="E83" s="30"/>
      <c r="F83" s="30"/>
      <c r="G83" s="48"/>
      <c r="H83" s="49"/>
      <c r="I83" s="48"/>
      <c r="J83" s="30"/>
      <c r="K83" s="30"/>
      <c r="L83" s="30"/>
      <c r="M83" s="30"/>
      <c r="N83" s="30"/>
      <c r="O83" s="30"/>
      <c r="P83" s="30"/>
      <c r="Q83" s="20"/>
      <c r="T83" s="188"/>
      <c r="U83" s="188"/>
      <c r="V83" s="188"/>
      <c r="W83" s="188"/>
    </row>
    <row r="84" spans="1:23" x14ac:dyDescent="0.25">
      <c r="A84" s="31" t="s">
        <v>291</v>
      </c>
      <c r="B84" s="31" t="s">
        <v>41</v>
      </c>
      <c r="C84" s="31" t="s">
        <v>282</v>
      </c>
      <c r="D84" s="20">
        <f>36</f>
        <v>36</v>
      </c>
      <c r="E84" s="20">
        <f>36</f>
        <v>36</v>
      </c>
      <c r="F84" s="20">
        <f>36</f>
        <v>36</v>
      </c>
      <c r="G84" s="20">
        <f>36</f>
        <v>36</v>
      </c>
      <c r="H84" s="20">
        <f>36</f>
        <v>36</v>
      </c>
      <c r="I84" s="20">
        <f>36</f>
        <v>36</v>
      </c>
      <c r="J84" s="20">
        <f>36</f>
        <v>36</v>
      </c>
      <c r="K84" s="20">
        <f>36</f>
        <v>36</v>
      </c>
      <c r="L84" s="20">
        <f>36</f>
        <v>36</v>
      </c>
      <c r="M84" s="20">
        <f>36</f>
        <v>36</v>
      </c>
      <c r="N84" s="20">
        <f>36</f>
        <v>36</v>
      </c>
      <c r="O84" s="20">
        <f>36</f>
        <v>36</v>
      </c>
      <c r="P84" s="20">
        <f>36</f>
        <v>36</v>
      </c>
      <c r="Q84" s="20">
        <f>36</f>
        <v>36</v>
      </c>
      <c r="T84" s="188"/>
      <c r="U84" s="188"/>
      <c r="V84" s="188"/>
      <c r="W84" s="188"/>
    </row>
    <row r="85" spans="1:23" x14ac:dyDescent="0.25">
      <c r="A85" s="31" t="s">
        <v>281</v>
      </c>
      <c r="B85" s="31" t="s">
        <v>280</v>
      </c>
      <c r="C85" s="31" t="s">
        <v>282</v>
      </c>
      <c r="D85" s="20">
        <f>12+54</f>
        <v>66</v>
      </c>
      <c r="E85" s="20">
        <f>18+54</f>
        <v>72</v>
      </c>
      <c r="F85" s="45">
        <f>20+54</f>
        <v>74</v>
      </c>
      <c r="G85" s="20">
        <f>16+54</f>
        <v>70</v>
      </c>
      <c r="H85" s="20">
        <f>12+54</f>
        <v>66</v>
      </c>
      <c r="I85" s="20">
        <f>13+54</f>
        <v>67</v>
      </c>
      <c r="J85" s="20">
        <f>14+54</f>
        <v>68</v>
      </c>
      <c r="K85" s="20">
        <f>19+54</f>
        <v>73</v>
      </c>
      <c r="L85" s="20">
        <f>22+54</f>
        <v>76</v>
      </c>
      <c r="M85" s="20">
        <f>18+54</f>
        <v>72</v>
      </c>
      <c r="N85" s="20">
        <f>13+54</f>
        <v>67</v>
      </c>
      <c r="O85" s="20">
        <f>21+54</f>
        <v>75</v>
      </c>
      <c r="P85" s="20">
        <f>11+54</f>
        <v>65</v>
      </c>
      <c r="Q85" s="20">
        <f>15+54</f>
        <v>69</v>
      </c>
      <c r="T85" s="188"/>
      <c r="U85" s="188"/>
      <c r="V85" s="188"/>
      <c r="W85" s="188"/>
    </row>
    <row r="86" spans="1:23" ht="30.75" customHeight="1" x14ac:dyDescent="0.25">
      <c r="A86" s="31" t="s">
        <v>292</v>
      </c>
      <c r="B86" s="31" t="s">
        <v>293</v>
      </c>
      <c r="C86" s="31" t="s">
        <v>282</v>
      </c>
      <c r="D86" s="20">
        <f>18</f>
        <v>18</v>
      </c>
      <c r="E86" s="20">
        <f>18</f>
        <v>18</v>
      </c>
      <c r="F86" s="20">
        <f>18</f>
        <v>18</v>
      </c>
      <c r="G86" s="20">
        <f>18</f>
        <v>18</v>
      </c>
      <c r="H86" s="20">
        <f>18</f>
        <v>18</v>
      </c>
      <c r="I86" s="20">
        <f>18</f>
        <v>18</v>
      </c>
      <c r="J86" s="20">
        <f>18</f>
        <v>18</v>
      </c>
      <c r="K86" s="20">
        <f>18</f>
        <v>18</v>
      </c>
      <c r="L86" s="20">
        <f>18</f>
        <v>18</v>
      </c>
      <c r="M86" s="20">
        <f>18</f>
        <v>18</v>
      </c>
      <c r="N86" s="20">
        <f>18</f>
        <v>18</v>
      </c>
      <c r="O86" s="20">
        <f>18</f>
        <v>18</v>
      </c>
      <c r="P86" s="20">
        <f>18</f>
        <v>18</v>
      </c>
      <c r="Q86" s="20">
        <f>18</f>
        <v>18</v>
      </c>
      <c r="T86" s="188"/>
      <c r="U86" s="188"/>
      <c r="V86" s="188"/>
      <c r="W86" s="188"/>
    </row>
    <row r="87" spans="1:23" x14ac:dyDescent="0.25">
      <c r="A87" s="31" t="s">
        <v>305</v>
      </c>
      <c r="B87" s="31" t="s">
        <v>306</v>
      </c>
      <c r="C87" s="31" t="s">
        <v>282</v>
      </c>
      <c r="D87" s="20">
        <f>5</f>
        <v>5</v>
      </c>
      <c r="E87" s="20">
        <f>6</f>
        <v>6</v>
      </c>
      <c r="F87" s="20">
        <f>7</f>
        <v>7</v>
      </c>
      <c r="G87" s="45">
        <f>8</f>
        <v>8</v>
      </c>
      <c r="H87" s="45">
        <f>9</f>
        <v>9</v>
      </c>
      <c r="I87" s="45">
        <f>10</f>
        <v>10</v>
      </c>
      <c r="J87" s="20">
        <f>11</f>
        <v>11</v>
      </c>
      <c r="K87" s="20">
        <f>12</f>
        <v>12</v>
      </c>
      <c r="L87" s="20">
        <f>13</f>
        <v>13</v>
      </c>
      <c r="M87" s="20">
        <f>14</f>
        <v>14</v>
      </c>
      <c r="N87" s="20">
        <f>15</f>
        <v>15</v>
      </c>
      <c r="O87" s="20">
        <f>16</f>
        <v>16</v>
      </c>
      <c r="P87" s="20">
        <f>17</f>
        <v>17</v>
      </c>
      <c r="Q87" s="20">
        <f>18</f>
        <v>18</v>
      </c>
      <c r="T87" s="188"/>
      <c r="U87" s="188"/>
      <c r="V87" s="188"/>
      <c r="W87" s="188"/>
    </row>
    <row r="88" spans="1:23" x14ac:dyDescent="0.25">
      <c r="A88" s="31" t="s">
        <v>307</v>
      </c>
      <c r="B88" s="31" t="s">
        <v>308</v>
      </c>
      <c r="C88" s="31" t="s">
        <v>282</v>
      </c>
      <c r="D88" s="20">
        <f>5</f>
        <v>5</v>
      </c>
      <c r="E88" s="20">
        <f>6</f>
        <v>6</v>
      </c>
      <c r="F88" s="20">
        <f>7</f>
        <v>7</v>
      </c>
      <c r="G88" s="45">
        <f>8</f>
        <v>8</v>
      </c>
      <c r="H88" s="45">
        <f>9</f>
        <v>9</v>
      </c>
      <c r="I88" s="45">
        <f>10</f>
        <v>10</v>
      </c>
      <c r="J88" s="20">
        <f>11</f>
        <v>11</v>
      </c>
      <c r="K88" s="20">
        <f>12</f>
        <v>12</v>
      </c>
      <c r="L88" s="20">
        <f>13</f>
        <v>13</v>
      </c>
      <c r="M88" s="20">
        <f>14</f>
        <v>14</v>
      </c>
      <c r="N88" s="20">
        <f>15</f>
        <v>15</v>
      </c>
      <c r="O88" s="20">
        <f>16</f>
        <v>16</v>
      </c>
      <c r="P88" s="20">
        <f>17</f>
        <v>17</v>
      </c>
      <c r="Q88" s="20">
        <f>18</f>
        <v>18</v>
      </c>
      <c r="T88" s="188"/>
      <c r="U88" s="188"/>
      <c r="V88" s="188"/>
      <c r="W88" s="188"/>
    </row>
    <row r="89" spans="1:23" x14ac:dyDescent="0.25">
      <c r="A89" s="31" t="s">
        <v>1079</v>
      </c>
      <c r="B89" s="31" t="s">
        <v>279</v>
      </c>
      <c r="C89" s="31" t="s">
        <v>282</v>
      </c>
      <c r="D89" s="20">
        <f>9</f>
        <v>9</v>
      </c>
      <c r="E89" s="20">
        <f>6</f>
        <v>6</v>
      </c>
      <c r="F89" s="20">
        <f>10</f>
        <v>10</v>
      </c>
      <c r="G89" s="45">
        <f>11</f>
        <v>11</v>
      </c>
      <c r="H89" s="45">
        <f>9</f>
        <v>9</v>
      </c>
      <c r="I89" s="45">
        <f>11</f>
        <v>11</v>
      </c>
      <c r="J89" s="20">
        <f>13</f>
        <v>13</v>
      </c>
      <c r="K89" s="20">
        <f>13</f>
        <v>13</v>
      </c>
      <c r="L89" s="20">
        <f>13</f>
        <v>13</v>
      </c>
      <c r="M89" s="20">
        <f>11</f>
        <v>11</v>
      </c>
      <c r="N89" s="20">
        <f>10</f>
        <v>10</v>
      </c>
      <c r="O89" s="20">
        <f>12</f>
        <v>12</v>
      </c>
      <c r="P89" s="20">
        <f>9</f>
        <v>9</v>
      </c>
      <c r="Q89" s="20">
        <f>11</f>
        <v>11</v>
      </c>
      <c r="T89" s="188"/>
      <c r="U89" s="188"/>
      <c r="V89" s="188"/>
      <c r="W89" s="188"/>
    </row>
    <row r="90" spans="1:23" x14ac:dyDescent="0.25">
      <c r="A90" s="31" t="s">
        <v>18</v>
      </c>
      <c r="B90" s="31" t="s">
        <v>19</v>
      </c>
      <c r="C90" s="31"/>
      <c r="D90" s="20"/>
      <c r="E90" s="20"/>
      <c r="F90" s="20"/>
      <c r="G90" s="45"/>
      <c r="H90" s="45"/>
      <c r="I90" s="45"/>
      <c r="J90" s="20"/>
      <c r="K90" s="20"/>
      <c r="L90" s="20"/>
      <c r="M90" s="20"/>
      <c r="N90" s="20"/>
      <c r="O90" s="20"/>
      <c r="P90" s="20"/>
      <c r="Q90" s="20"/>
      <c r="T90" s="188"/>
      <c r="U90" s="188"/>
      <c r="V90" s="188"/>
      <c r="W90" s="188"/>
    </row>
    <row r="91" spans="1:23" x14ac:dyDescent="0.25">
      <c r="A91" s="31" t="s">
        <v>1080</v>
      </c>
      <c r="B91" s="31" t="s">
        <v>1081</v>
      </c>
      <c r="C91" s="31" t="s">
        <v>282</v>
      </c>
      <c r="D91" s="20">
        <f>20+3</f>
        <v>23</v>
      </c>
      <c r="E91" s="20">
        <f>16+5</f>
        <v>21</v>
      </c>
      <c r="F91" s="20">
        <f>16+7</f>
        <v>23</v>
      </c>
      <c r="G91" s="45">
        <f>12+9</f>
        <v>21</v>
      </c>
      <c r="H91" s="45">
        <f>21+10</f>
        <v>31</v>
      </c>
      <c r="I91" s="45">
        <f>12+12</f>
        <v>24</v>
      </c>
      <c r="J91" s="20">
        <f>12+14</f>
        <v>26</v>
      </c>
      <c r="K91" s="20">
        <f>10+16</f>
        <v>26</v>
      </c>
      <c r="L91" s="20">
        <f>16+18</f>
        <v>34</v>
      </c>
      <c r="M91" s="20">
        <f>20+20</f>
        <v>40</v>
      </c>
      <c r="N91" s="20">
        <f>19+22</f>
        <v>41</v>
      </c>
      <c r="O91" s="20">
        <f>21+24</f>
        <v>45</v>
      </c>
      <c r="P91" s="20">
        <f>23+26</f>
        <v>49</v>
      </c>
      <c r="Q91" s="20">
        <f>18+28</f>
        <v>46</v>
      </c>
      <c r="T91" s="188"/>
      <c r="U91" s="188"/>
      <c r="V91" s="188"/>
      <c r="W91" s="188"/>
    </row>
    <row r="92" spans="1:23" x14ac:dyDescent="0.25">
      <c r="A92" s="31" t="s">
        <v>1082</v>
      </c>
      <c r="B92" s="31" t="s">
        <v>1083</v>
      </c>
      <c r="C92" s="31" t="s">
        <v>282</v>
      </c>
      <c r="D92" s="20">
        <f>32</f>
        <v>32</v>
      </c>
      <c r="E92" s="20">
        <f>22</f>
        <v>22</v>
      </c>
      <c r="F92" s="20">
        <f>26</f>
        <v>26</v>
      </c>
      <c r="G92" s="45">
        <f>33</f>
        <v>33</v>
      </c>
      <c r="H92" s="45">
        <f>20</f>
        <v>20</v>
      </c>
      <c r="I92" s="45">
        <f>24</f>
        <v>24</v>
      </c>
      <c r="J92" s="20">
        <f>21</f>
        <v>21</v>
      </c>
      <c r="K92" s="20">
        <f>26</f>
        <v>26</v>
      </c>
      <c r="L92" s="20">
        <f>27</f>
        <v>27</v>
      </c>
      <c r="M92" s="20">
        <f>24</f>
        <v>24</v>
      </c>
      <c r="N92" s="20">
        <f>23</f>
        <v>23</v>
      </c>
      <c r="O92" s="20">
        <f>27</f>
        <v>27</v>
      </c>
      <c r="P92" s="20">
        <f>26</f>
        <v>26</v>
      </c>
      <c r="Q92" s="20">
        <f>29</f>
        <v>29</v>
      </c>
      <c r="T92" s="188"/>
      <c r="U92" s="188"/>
      <c r="V92" s="188"/>
      <c r="W92" s="188"/>
    </row>
    <row r="93" spans="1:23" s="193" customFormat="1" ht="15.75" customHeight="1" x14ac:dyDescent="0.25">
      <c r="A93" s="267" t="s">
        <v>1192</v>
      </c>
      <c r="B93" s="268"/>
      <c r="C93" s="195"/>
      <c r="D93" s="64">
        <f>D84+D85+D86+D87+D88+D90+D89+D91+D92</f>
        <v>194</v>
      </c>
      <c r="E93" s="64">
        <f t="shared" ref="E93:Q93" si="16">E84+E85+E86+E87+E88+E90+E89+E91+E92</f>
        <v>187</v>
      </c>
      <c r="F93" s="64">
        <f t="shared" si="16"/>
        <v>201</v>
      </c>
      <c r="G93" s="64">
        <f t="shared" si="16"/>
        <v>205</v>
      </c>
      <c r="H93" s="64">
        <f t="shared" si="16"/>
        <v>198</v>
      </c>
      <c r="I93" s="64">
        <f t="shared" si="16"/>
        <v>200</v>
      </c>
      <c r="J93" s="64">
        <f t="shared" si="16"/>
        <v>204</v>
      </c>
      <c r="K93" s="64">
        <f t="shared" si="16"/>
        <v>216</v>
      </c>
      <c r="L93" s="64">
        <f t="shared" si="16"/>
        <v>230</v>
      </c>
      <c r="M93" s="64">
        <f t="shared" si="16"/>
        <v>229</v>
      </c>
      <c r="N93" s="64">
        <f t="shared" si="16"/>
        <v>225</v>
      </c>
      <c r="O93" s="64">
        <f t="shared" si="16"/>
        <v>245</v>
      </c>
      <c r="P93" s="64">
        <f t="shared" si="16"/>
        <v>237</v>
      </c>
      <c r="Q93" s="64">
        <f t="shared" si="16"/>
        <v>245</v>
      </c>
      <c r="T93" s="194"/>
      <c r="U93" s="194"/>
      <c r="V93" s="194"/>
      <c r="W93" s="194"/>
    </row>
    <row r="94" spans="1:23" s="193" customFormat="1" x14ac:dyDescent="0.25">
      <c r="A94" s="289" t="s">
        <v>263</v>
      </c>
      <c r="B94" s="290"/>
      <c r="C94" s="291"/>
      <c r="D94" s="20"/>
      <c r="E94" s="20"/>
      <c r="F94" s="20"/>
      <c r="G94" s="45"/>
      <c r="H94" s="45"/>
      <c r="I94" s="45"/>
      <c r="J94" s="20"/>
      <c r="K94" s="20"/>
      <c r="L94" s="20"/>
      <c r="M94" s="20"/>
      <c r="N94" s="20"/>
      <c r="O94" s="20"/>
      <c r="P94" s="20"/>
      <c r="Q94" s="20"/>
      <c r="T94" s="194"/>
      <c r="U94" s="194"/>
      <c r="V94" s="194"/>
      <c r="W94" s="194"/>
    </row>
    <row r="95" spans="1:23" x14ac:dyDescent="0.25">
      <c r="A95" s="14" t="s">
        <v>4</v>
      </c>
      <c r="B95" s="14" t="s">
        <v>23</v>
      </c>
      <c r="C95" s="14"/>
      <c r="D95" s="20"/>
      <c r="E95" s="20"/>
      <c r="F95" s="20"/>
      <c r="G95" s="45"/>
      <c r="H95" s="45"/>
      <c r="I95" s="45"/>
      <c r="J95" s="20"/>
      <c r="K95" s="20"/>
      <c r="L95" s="20"/>
      <c r="M95" s="20"/>
      <c r="N95" s="20"/>
      <c r="O95" s="20"/>
      <c r="P95" s="20"/>
      <c r="Q95" s="20"/>
      <c r="T95" s="188"/>
      <c r="U95" s="188"/>
      <c r="V95" s="188"/>
      <c r="W95" s="188"/>
    </row>
    <row r="96" spans="1:23" x14ac:dyDescent="0.25">
      <c r="A96" s="14" t="s">
        <v>45</v>
      </c>
      <c r="B96" s="14" t="s">
        <v>24</v>
      </c>
      <c r="C96" s="31" t="s">
        <v>282</v>
      </c>
      <c r="D96" s="20">
        <f>2+31+3</f>
        <v>36</v>
      </c>
      <c r="E96" s="20">
        <f>2+2+31+1+3</f>
        <v>39</v>
      </c>
      <c r="F96" s="20">
        <f>2+1+1+31+3</f>
        <v>38</v>
      </c>
      <c r="G96" s="20">
        <f>2+3+31+3</f>
        <v>39</v>
      </c>
      <c r="H96" s="20">
        <f>2+2+31+1+3</f>
        <v>39</v>
      </c>
      <c r="I96" s="20">
        <f>2+1+31+3</f>
        <v>37</v>
      </c>
      <c r="J96" s="20">
        <f>2+1+31+3</f>
        <v>37</v>
      </c>
      <c r="K96" s="20">
        <f>2+31+1+3</f>
        <v>37</v>
      </c>
      <c r="L96" s="20">
        <f>2+4+31+3</f>
        <v>40</v>
      </c>
      <c r="M96" s="20">
        <f>2+2+31</f>
        <v>35</v>
      </c>
      <c r="N96" s="20">
        <f>2+31+1</f>
        <v>34</v>
      </c>
      <c r="O96" s="20">
        <f>2+3+31</f>
        <v>36</v>
      </c>
      <c r="P96" s="20">
        <f>2+1+31</f>
        <v>34</v>
      </c>
      <c r="Q96" s="20">
        <f>2+1+31+1</f>
        <v>35</v>
      </c>
      <c r="T96" s="188"/>
      <c r="U96" s="188"/>
      <c r="V96" s="188"/>
      <c r="W96" s="188"/>
    </row>
    <row r="97" spans="1:23" x14ac:dyDescent="0.25">
      <c r="A97" s="14" t="s">
        <v>165</v>
      </c>
      <c r="B97" s="14" t="s">
        <v>166</v>
      </c>
      <c r="C97" s="31" t="s">
        <v>282</v>
      </c>
      <c r="D97" s="20">
        <f>2+2</f>
        <v>4</v>
      </c>
      <c r="E97" s="20">
        <f t="shared" ref="E97:L97" si="17">2+2</f>
        <v>4</v>
      </c>
      <c r="F97" s="20">
        <f t="shared" si="17"/>
        <v>4</v>
      </c>
      <c r="G97" s="20">
        <f t="shared" si="17"/>
        <v>4</v>
      </c>
      <c r="H97" s="20">
        <f t="shared" si="17"/>
        <v>4</v>
      </c>
      <c r="I97" s="20">
        <f t="shared" si="17"/>
        <v>4</v>
      </c>
      <c r="J97" s="20">
        <f t="shared" si="17"/>
        <v>4</v>
      </c>
      <c r="K97" s="20">
        <f t="shared" si="17"/>
        <v>4</v>
      </c>
      <c r="L97" s="20">
        <f t="shared" si="17"/>
        <v>4</v>
      </c>
      <c r="M97" s="20">
        <f>2</f>
        <v>2</v>
      </c>
      <c r="N97" s="20">
        <f>2</f>
        <v>2</v>
      </c>
      <c r="O97" s="20">
        <f>2</f>
        <v>2</v>
      </c>
      <c r="P97" s="20">
        <f>2</f>
        <v>2</v>
      </c>
      <c r="Q97" s="20">
        <f>2</f>
        <v>2</v>
      </c>
      <c r="T97" s="188"/>
      <c r="U97" s="188"/>
      <c r="V97" s="188"/>
      <c r="W97" s="188"/>
    </row>
    <row r="98" spans="1:23" x14ac:dyDescent="0.25">
      <c r="A98" s="14" t="s">
        <v>46</v>
      </c>
      <c r="B98" s="14" t="s">
        <v>47</v>
      </c>
      <c r="C98" s="31" t="s">
        <v>282</v>
      </c>
      <c r="D98" s="20">
        <f>2+7+2</f>
        <v>11</v>
      </c>
      <c r="E98" s="20">
        <f t="shared" ref="E98:L98" si="18">2+7+2</f>
        <v>11</v>
      </c>
      <c r="F98" s="20">
        <f t="shared" si="18"/>
        <v>11</v>
      </c>
      <c r="G98" s="20">
        <f t="shared" si="18"/>
        <v>11</v>
      </c>
      <c r="H98" s="20">
        <f t="shared" si="18"/>
        <v>11</v>
      </c>
      <c r="I98" s="20">
        <f t="shared" si="18"/>
        <v>11</v>
      </c>
      <c r="J98" s="20">
        <f t="shared" si="18"/>
        <v>11</v>
      </c>
      <c r="K98" s="20">
        <f t="shared" si="18"/>
        <v>11</v>
      </c>
      <c r="L98" s="20">
        <f t="shared" si="18"/>
        <v>11</v>
      </c>
      <c r="M98" s="20">
        <f t="shared" ref="M98:Q98" si="19">2+7</f>
        <v>9</v>
      </c>
      <c r="N98" s="20">
        <f t="shared" si="19"/>
        <v>9</v>
      </c>
      <c r="O98" s="20">
        <f t="shared" si="19"/>
        <v>9</v>
      </c>
      <c r="P98" s="20">
        <f t="shared" si="19"/>
        <v>9</v>
      </c>
      <c r="Q98" s="20">
        <f t="shared" si="19"/>
        <v>9</v>
      </c>
      <c r="T98" s="188"/>
      <c r="U98" s="188"/>
      <c r="V98" s="188"/>
      <c r="W98" s="188"/>
    </row>
    <row r="99" spans="1:23" x14ac:dyDescent="0.25">
      <c r="A99" s="14" t="s">
        <v>421</v>
      </c>
      <c r="B99" s="14" t="s">
        <v>422</v>
      </c>
      <c r="C99" s="14"/>
      <c r="D99" s="20"/>
      <c r="E99" s="20"/>
      <c r="F99" s="20"/>
      <c r="G99" s="45"/>
      <c r="H99" s="45"/>
      <c r="I99" s="45"/>
      <c r="J99" s="20"/>
      <c r="K99" s="20"/>
      <c r="L99" s="20"/>
      <c r="M99" s="20"/>
      <c r="N99" s="20"/>
      <c r="O99" s="20"/>
      <c r="P99" s="20"/>
      <c r="Q99" s="20"/>
      <c r="T99" s="188"/>
      <c r="U99" s="188"/>
      <c r="V99" s="188"/>
      <c r="W99" s="188"/>
    </row>
    <row r="100" spans="1:23" x14ac:dyDescent="0.25">
      <c r="A100" s="14" t="s">
        <v>423</v>
      </c>
      <c r="B100" s="14" t="s">
        <v>424</v>
      </c>
      <c r="C100" s="14" t="s">
        <v>282</v>
      </c>
      <c r="D100" s="20"/>
      <c r="E100" s="20"/>
      <c r="F100" s="20"/>
      <c r="G100" s="45">
        <f>1</f>
        <v>1</v>
      </c>
      <c r="H100" s="45"/>
      <c r="I100" s="45"/>
      <c r="J100" s="20"/>
      <c r="K100" s="20">
        <f>1</f>
        <v>1</v>
      </c>
      <c r="L100" s="20">
        <f>1</f>
        <v>1</v>
      </c>
      <c r="M100" s="20"/>
      <c r="N100" s="20">
        <f>1</f>
        <v>1</v>
      </c>
      <c r="O100" s="20"/>
      <c r="P100" s="20"/>
      <c r="Q100" s="20"/>
      <c r="T100" s="188"/>
      <c r="U100" s="188"/>
      <c r="V100" s="188"/>
      <c r="W100" s="188"/>
    </row>
    <row r="101" spans="1:23" x14ac:dyDescent="0.25">
      <c r="A101" s="14" t="s">
        <v>425</v>
      </c>
      <c r="B101" s="14" t="s">
        <v>426</v>
      </c>
      <c r="C101" s="14" t="s">
        <v>282</v>
      </c>
      <c r="D101" s="20"/>
      <c r="E101" s="20"/>
      <c r="F101" s="20"/>
      <c r="G101" s="45"/>
      <c r="H101" s="45"/>
      <c r="I101" s="45"/>
      <c r="J101" s="20"/>
      <c r="K101" s="20"/>
      <c r="L101" s="20"/>
      <c r="M101" s="20"/>
      <c r="N101" s="20"/>
      <c r="O101" s="20"/>
      <c r="P101" s="20"/>
      <c r="Q101" s="20"/>
      <c r="T101" s="188"/>
      <c r="U101" s="188"/>
      <c r="V101" s="188"/>
      <c r="W101" s="188"/>
    </row>
    <row r="102" spans="1:23" x14ac:dyDescent="0.25">
      <c r="A102" s="14" t="s">
        <v>1175</v>
      </c>
      <c r="B102" s="14" t="s">
        <v>1176</v>
      </c>
      <c r="C102" s="14" t="s">
        <v>282</v>
      </c>
      <c r="D102" s="20">
        <f>1</f>
        <v>1</v>
      </c>
      <c r="E102" s="20">
        <f>2</f>
        <v>2</v>
      </c>
      <c r="F102" s="20">
        <f>2</f>
        <v>2</v>
      </c>
      <c r="G102" s="20">
        <f>2</f>
        <v>2</v>
      </c>
      <c r="H102" s="20">
        <f>2</f>
        <v>2</v>
      </c>
      <c r="I102" s="20">
        <f>2</f>
        <v>2</v>
      </c>
      <c r="J102" s="20">
        <f>2</f>
        <v>2</v>
      </c>
      <c r="K102" s="20">
        <f>2</f>
        <v>2</v>
      </c>
      <c r="L102" s="20">
        <f>2</f>
        <v>2</v>
      </c>
      <c r="M102" s="20">
        <f>2</f>
        <v>2</v>
      </c>
      <c r="N102" s="20">
        <f>2</f>
        <v>2</v>
      </c>
      <c r="O102" s="20">
        <f>2</f>
        <v>2</v>
      </c>
      <c r="P102" s="20">
        <f>2</f>
        <v>2</v>
      </c>
      <c r="Q102" s="20">
        <f>2</f>
        <v>2</v>
      </c>
      <c r="T102" s="188"/>
      <c r="U102" s="188"/>
      <c r="V102" s="188"/>
      <c r="W102" s="188"/>
    </row>
    <row r="103" spans="1:23" x14ac:dyDescent="0.25">
      <c r="A103" s="14" t="s">
        <v>3</v>
      </c>
      <c r="B103" s="14" t="s">
        <v>22</v>
      </c>
      <c r="C103" s="14"/>
      <c r="D103" s="20"/>
      <c r="E103" s="20"/>
      <c r="F103" s="20"/>
      <c r="G103" s="45"/>
      <c r="H103" s="45"/>
      <c r="I103" s="45"/>
      <c r="J103" s="20"/>
      <c r="K103" s="20"/>
      <c r="L103" s="20"/>
      <c r="M103" s="20"/>
      <c r="N103" s="20"/>
      <c r="O103" s="20"/>
      <c r="P103" s="20"/>
      <c r="Q103" s="20"/>
      <c r="T103" s="188"/>
      <c r="U103" s="188"/>
      <c r="V103" s="188"/>
      <c r="W103" s="188"/>
    </row>
    <row r="104" spans="1:23" x14ac:dyDescent="0.25">
      <c r="A104" s="14" t="s">
        <v>286</v>
      </c>
      <c r="B104" s="14" t="s">
        <v>287</v>
      </c>
      <c r="C104" s="14" t="s">
        <v>282</v>
      </c>
      <c r="D104" s="20">
        <f>40+14+2</f>
        <v>56</v>
      </c>
      <c r="E104" s="20">
        <f>40+14+2</f>
        <v>56</v>
      </c>
      <c r="F104" s="20">
        <f>40+14+1+2</f>
        <v>57</v>
      </c>
      <c r="G104" s="20">
        <f>40+1+14+2+1</f>
        <v>58</v>
      </c>
      <c r="H104" s="20">
        <f>40+14+2</f>
        <v>56</v>
      </c>
      <c r="I104" s="20">
        <f>40+14+1+2</f>
        <v>57</v>
      </c>
      <c r="J104" s="20">
        <f>40+14+2</f>
        <v>56</v>
      </c>
      <c r="K104" s="20">
        <f>40+14+2+1</f>
        <v>57</v>
      </c>
      <c r="L104" s="20">
        <f>40+14+2+1</f>
        <v>57</v>
      </c>
      <c r="M104" s="20">
        <f>40+14+1</f>
        <v>55</v>
      </c>
      <c r="N104" s="20">
        <f>40+14+1</f>
        <v>55</v>
      </c>
      <c r="O104" s="20">
        <f t="shared" ref="O104:Q104" si="20">40+14</f>
        <v>54</v>
      </c>
      <c r="P104" s="20">
        <f>40+14+1</f>
        <v>55</v>
      </c>
      <c r="Q104" s="20">
        <f t="shared" si="20"/>
        <v>54</v>
      </c>
      <c r="T104" s="188"/>
      <c r="U104" s="188"/>
      <c r="V104" s="188"/>
      <c r="W104" s="188"/>
    </row>
    <row r="105" spans="1:23" x14ac:dyDescent="0.25">
      <c r="A105" s="14" t="s">
        <v>1097</v>
      </c>
      <c r="B105" s="14" t="s">
        <v>1098</v>
      </c>
      <c r="C105" s="14" t="s">
        <v>282</v>
      </c>
      <c r="D105" s="20"/>
      <c r="E105" s="20"/>
      <c r="F105" s="20"/>
      <c r="G105" s="45"/>
      <c r="H105" s="45"/>
      <c r="I105" s="45"/>
      <c r="J105" s="20"/>
      <c r="K105" s="20"/>
      <c r="L105" s="20"/>
      <c r="M105" s="20"/>
      <c r="N105" s="20"/>
      <c r="O105" s="20"/>
      <c r="P105" s="20"/>
      <c r="Q105" s="20"/>
      <c r="T105" s="188"/>
      <c r="U105" s="188"/>
      <c r="V105" s="188"/>
      <c r="W105" s="188"/>
    </row>
    <row r="106" spans="1:23" x14ac:dyDescent="0.25">
      <c r="A106" s="14" t="s">
        <v>37</v>
      </c>
      <c r="B106" s="14" t="s">
        <v>25</v>
      </c>
      <c r="C106" s="14"/>
      <c r="D106" s="20"/>
      <c r="E106" s="20"/>
      <c r="F106" s="20"/>
      <c r="G106" s="45"/>
      <c r="H106" s="45"/>
      <c r="I106" s="45"/>
      <c r="J106" s="20"/>
      <c r="K106" s="20"/>
      <c r="L106" s="20"/>
      <c r="M106" s="20"/>
      <c r="N106" s="20"/>
      <c r="O106" s="20"/>
      <c r="P106" s="20"/>
      <c r="Q106" s="20"/>
      <c r="T106" s="188"/>
      <c r="U106" s="188"/>
      <c r="V106" s="188"/>
      <c r="W106" s="188"/>
    </row>
    <row r="107" spans="1:23" x14ac:dyDescent="0.25">
      <c r="A107" s="14" t="s">
        <v>1146</v>
      </c>
      <c r="B107" s="14" t="s">
        <v>1147</v>
      </c>
      <c r="C107" s="14" t="s">
        <v>282</v>
      </c>
      <c r="D107" s="21"/>
      <c r="E107" s="21">
        <f>2</f>
        <v>2</v>
      </c>
      <c r="F107" s="21">
        <f>2</f>
        <v>2</v>
      </c>
      <c r="G107" s="21">
        <f>2</f>
        <v>2</v>
      </c>
      <c r="H107" s="21">
        <f>2</f>
        <v>2</v>
      </c>
      <c r="I107" s="21">
        <f>2</f>
        <v>2</v>
      </c>
      <c r="J107" s="21">
        <f>2</f>
        <v>2</v>
      </c>
      <c r="K107" s="21">
        <f>2</f>
        <v>2</v>
      </c>
      <c r="L107" s="21">
        <f>2</f>
        <v>2</v>
      </c>
      <c r="M107" s="21">
        <f>2</f>
        <v>2</v>
      </c>
      <c r="N107" s="21">
        <f>2</f>
        <v>2</v>
      </c>
      <c r="O107" s="21">
        <f>2</f>
        <v>2</v>
      </c>
      <c r="P107" s="21">
        <f>2</f>
        <v>2</v>
      </c>
      <c r="Q107" s="21">
        <f>2</f>
        <v>2</v>
      </c>
      <c r="T107" s="188"/>
      <c r="U107" s="188"/>
      <c r="V107" s="188"/>
      <c r="W107" s="188"/>
    </row>
    <row r="108" spans="1:23" x14ac:dyDescent="0.25">
      <c r="A108" s="14" t="s">
        <v>50</v>
      </c>
      <c r="B108" s="14" t="s">
        <v>26</v>
      </c>
      <c r="C108" s="14" t="s">
        <v>282</v>
      </c>
      <c r="D108" s="43">
        <f>15</f>
        <v>15</v>
      </c>
      <c r="E108" s="21">
        <f>20+8</f>
        <v>28</v>
      </c>
      <c r="F108" s="21">
        <f>25+5</f>
        <v>30</v>
      </c>
      <c r="G108" s="21">
        <f>30+3</f>
        <v>33</v>
      </c>
      <c r="H108" s="21">
        <f>40+30+2</f>
        <v>72</v>
      </c>
      <c r="I108" s="21">
        <f>45+30+2</f>
        <v>77</v>
      </c>
      <c r="J108" s="21">
        <f>35+2</f>
        <v>37</v>
      </c>
      <c r="K108" s="21">
        <f>35+2</f>
        <v>37</v>
      </c>
      <c r="L108" s="20">
        <f>40+2</f>
        <v>42</v>
      </c>
      <c r="M108" s="20">
        <f>40+2</f>
        <v>42</v>
      </c>
      <c r="N108" s="20">
        <f t="shared" ref="N108:Q108" si="21">40+2</f>
        <v>42</v>
      </c>
      <c r="O108" s="20">
        <f t="shared" si="21"/>
        <v>42</v>
      </c>
      <c r="P108" s="20">
        <f t="shared" si="21"/>
        <v>42</v>
      </c>
      <c r="Q108" s="20">
        <f t="shared" si="21"/>
        <v>42</v>
      </c>
      <c r="T108" s="188"/>
      <c r="U108" s="188"/>
      <c r="V108" s="188"/>
      <c r="W108" s="188"/>
    </row>
    <row r="109" spans="1:23" x14ac:dyDescent="0.25">
      <c r="A109" s="14" t="s">
        <v>51</v>
      </c>
      <c r="B109" s="14" t="s">
        <v>27</v>
      </c>
      <c r="C109" s="14" t="s">
        <v>282</v>
      </c>
      <c r="D109" s="43">
        <f>20</f>
        <v>20</v>
      </c>
      <c r="E109" s="21">
        <f>20+2</f>
        <v>22</v>
      </c>
      <c r="F109" s="21">
        <f>30+2</f>
        <v>32</v>
      </c>
      <c r="G109" s="21">
        <f>35+2</f>
        <v>37</v>
      </c>
      <c r="H109" s="21">
        <f>30+40+1</f>
        <v>71</v>
      </c>
      <c r="I109" s="21">
        <f>35+40+1</f>
        <v>76</v>
      </c>
      <c r="J109" s="21">
        <f>45+1</f>
        <v>46</v>
      </c>
      <c r="K109" s="21">
        <f>45+1</f>
        <v>46</v>
      </c>
      <c r="L109" s="20">
        <f>50+1</f>
        <v>51</v>
      </c>
      <c r="M109" s="20">
        <f>50+1</f>
        <v>51</v>
      </c>
      <c r="N109" s="20">
        <f>55+1</f>
        <v>56</v>
      </c>
      <c r="O109" s="20">
        <f>55+1</f>
        <v>56</v>
      </c>
      <c r="P109" s="25">
        <f>60+1</f>
        <v>61</v>
      </c>
      <c r="Q109" s="25">
        <f>60+1</f>
        <v>61</v>
      </c>
      <c r="T109" s="188"/>
      <c r="U109" s="188"/>
      <c r="V109" s="188"/>
      <c r="W109" s="188"/>
    </row>
    <row r="110" spans="1:23" s="196" customFormat="1" x14ac:dyDescent="0.25">
      <c r="A110" s="254" t="s">
        <v>1193</v>
      </c>
      <c r="B110" s="269"/>
      <c r="C110" s="66"/>
      <c r="D110" s="65">
        <f>SUM(D95:D109)</f>
        <v>143</v>
      </c>
      <c r="E110" s="63">
        <f>SUM(E95:E109)</f>
        <v>164</v>
      </c>
      <c r="F110" s="65">
        <f t="shared" ref="F110" si="22">SUM(F95:F109)</f>
        <v>176</v>
      </c>
      <c r="G110" s="63">
        <f t="shared" ref="G110" si="23">SUM(G96:G109)</f>
        <v>187</v>
      </c>
      <c r="H110" s="65">
        <f>SUM(H96:H109)</f>
        <v>257</v>
      </c>
      <c r="I110" s="63">
        <f t="shared" ref="I110" si="24">SUM(I96:I109)</f>
        <v>266</v>
      </c>
      <c r="J110" s="65">
        <f>SUM(J96:J109)</f>
        <v>195</v>
      </c>
      <c r="K110" s="63">
        <f t="shared" ref="K110" si="25">SUM(K96:K109)</f>
        <v>197</v>
      </c>
      <c r="L110" s="65">
        <f>SUM(L96:L109)</f>
        <v>210</v>
      </c>
      <c r="M110" s="63">
        <f t="shared" ref="M110" si="26">SUM(M96:M109)</f>
        <v>198</v>
      </c>
      <c r="N110" s="65">
        <f>SUM(N96:N109)</f>
        <v>203</v>
      </c>
      <c r="O110" s="63">
        <f t="shared" ref="O110" si="27">SUM(O96:O109)</f>
        <v>203</v>
      </c>
      <c r="P110" s="65">
        <f>SUM(P96:P109)</f>
        <v>207</v>
      </c>
      <c r="Q110" s="63">
        <f t="shared" ref="Q110" si="28">SUM(Q96:Q109)</f>
        <v>207</v>
      </c>
      <c r="T110" s="197"/>
      <c r="U110" s="197"/>
      <c r="V110" s="197"/>
      <c r="W110" s="197"/>
    </row>
    <row r="111" spans="1:23" ht="18" customHeight="1" x14ac:dyDescent="0.25">
      <c r="A111" s="198" t="s">
        <v>8</v>
      </c>
      <c r="B111" s="199"/>
      <c r="C111" s="199"/>
      <c r="D111" s="20"/>
      <c r="E111" s="20"/>
      <c r="F111" s="20"/>
      <c r="G111" s="45"/>
      <c r="H111" s="45"/>
      <c r="I111" s="45"/>
      <c r="J111" s="20"/>
      <c r="K111" s="20"/>
      <c r="L111" s="20"/>
      <c r="M111" s="20"/>
      <c r="N111" s="20"/>
      <c r="O111" s="20"/>
      <c r="P111" s="20"/>
      <c r="Q111" s="20"/>
      <c r="T111" s="188"/>
      <c r="U111" s="188"/>
      <c r="V111" s="188"/>
      <c r="W111" s="188"/>
    </row>
    <row r="112" spans="1:23" x14ac:dyDescent="0.25">
      <c r="A112" s="14" t="s">
        <v>9</v>
      </c>
      <c r="B112" s="14" t="s">
        <v>8</v>
      </c>
      <c r="C112" s="34"/>
      <c r="D112" s="20"/>
      <c r="E112" s="20"/>
      <c r="F112" s="20"/>
      <c r="G112" s="45"/>
      <c r="H112" s="45"/>
      <c r="I112" s="45"/>
      <c r="J112" s="20"/>
      <c r="K112" s="20"/>
      <c r="L112" s="20"/>
      <c r="M112" s="20"/>
      <c r="N112" s="20"/>
      <c r="O112" s="20"/>
      <c r="P112" s="20"/>
      <c r="Q112" s="20"/>
      <c r="T112" s="188"/>
      <c r="U112" s="188"/>
      <c r="V112" s="188"/>
      <c r="W112" s="188"/>
    </row>
    <row r="113" spans="1:23" x14ac:dyDescent="0.25">
      <c r="A113" s="14" t="s">
        <v>238</v>
      </c>
      <c r="B113" s="14" t="s">
        <v>239</v>
      </c>
      <c r="C113" s="14" t="s">
        <v>282</v>
      </c>
      <c r="D113" s="20">
        <f>20</f>
        <v>20</v>
      </c>
      <c r="E113" s="20">
        <f>27</f>
        <v>27</v>
      </c>
      <c r="F113" s="20">
        <f>35</f>
        <v>35</v>
      </c>
      <c r="G113" s="45">
        <f>31</f>
        <v>31</v>
      </c>
      <c r="H113" s="45">
        <f>31</f>
        <v>31</v>
      </c>
      <c r="I113" s="45">
        <f>36</f>
        <v>36</v>
      </c>
      <c r="J113" s="20">
        <f>29</f>
        <v>29</v>
      </c>
      <c r="K113" s="20">
        <f>29</f>
        <v>29</v>
      </c>
      <c r="L113" s="20">
        <f>29</f>
        <v>29</v>
      </c>
      <c r="M113" s="20">
        <f>23</f>
        <v>23</v>
      </c>
      <c r="N113" s="20">
        <f>20</f>
        <v>20</v>
      </c>
      <c r="O113" s="20">
        <f>18</f>
        <v>18</v>
      </c>
      <c r="P113" s="20">
        <f>18</f>
        <v>18</v>
      </c>
      <c r="Q113" s="20">
        <f>18</f>
        <v>18</v>
      </c>
      <c r="T113" s="188"/>
      <c r="U113" s="188"/>
      <c r="V113" s="188"/>
      <c r="W113" s="188"/>
    </row>
    <row r="114" spans="1:23" x14ac:dyDescent="0.25">
      <c r="A114" s="14" t="s">
        <v>240</v>
      </c>
      <c r="B114" s="14" t="s">
        <v>241</v>
      </c>
      <c r="C114" s="14" t="s">
        <v>282</v>
      </c>
      <c r="D114" s="20">
        <f>1</f>
        <v>1</v>
      </c>
      <c r="E114" s="20">
        <f>1</f>
        <v>1</v>
      </c>
      <c r="F114" s="20">
        <f>3</f>
        <v>3</v>
      </c>
      <c r="G114" s="45">
        <f>4</f>
        <v>4</v>
      </c>
      <c r="H114" s="45">
        <f>4</f>
        <v>4</v>
      </c>
      <c r="I114" s="45">
        <f>4</f>
        <v>4</v>
      </c>
      <c r="J114" s="45">
        <f>4</f>
        <v>4</v>
      </c>
      <c r="K114" s="45">
        <f>4</f>
        <v>4</v>
      </c>
      <c r="L114" s="45">
        <f>4</f>
        <v>4</v>
      </c>
      <c r="M114" s="20">
        <f>5</f>
        <v>5</v>
      </c>
      <c r="N114" s="20">
        <f>5</f>
        <v>5</v>
      </c>
      <c r="O114" s="20">
        <f>5</f>
        <v>5</v>
      </c>
      <c r="P114" s="20">
        <f>5</f>
        <v>5</v>
      </c>
      <c r="Q114" s="20">
        <f>5</f>
        <v>5</v>
      </c>
      <c r="T114" s="188"/>
      <c r="U114" s="188"/>
      <c r="V114" s="188"/>
      <c r="W114" s="188"/>
    </row>
    <row r="115" spans="1:23" x14ac:dyDescent="0.25">
      <c r="A115" s="14" t="s">
        <v>242</v>
      </c>
      <c r="B115" s="14" t="s">
        <v>243</v>
      </c>
      <c r="C115" s="14" t="s">
        <v>282</v>
      </c>
      <c r="D115" s="20"/>
      <c r="E115" s="20"/>
      <c r="F115" s="20"/>
      <c r="G115" s="45"/>
      <c r="H115" s="45"/>
      <c r="I115" s="45"/>
      <c r="J115" s="20"/>
      <c r="K115" s="20"/>
      <c r="L115" s="20"/>
      <c r="M115" s="20"/>
      <c r="N115" s="20"/>
      <c r="O115" s="20"/>
      <c r="P115" s="20"/>
      <c r="Q115" s="20"/>
      <c r="T115" s="188"/>
      <c r="U115" s="188"/>
      <c r="V115" s="188"/>
      <c r="W115" s="188"/>
    </row>
    <row r="116" spans="1:23" x14ac:dyDescent="0.25">
      <c r="A116" s="14" t="s">
        <v>472</v>
      </c>
      <c r="B116" s="14" t="s">
        <v>436</v>
      </c>
      <c r="C116" s="14" t="s">
        <v>282</v>
      </c>
      <c r="D116" s="20">
        <f>2</f>
        <v>2</v>
      </c>
      <c r="E116" s="20">
        <f>11</f>
        <v>11</v>
      </c>
      <c r="F116" s="20">
        <f>8</f>
        <v>8</v>
      </c>
      <c r="G116" s="45">
        <f>8</f>
        <v>8</v>
      </c>
      <c r="H116" s="45">
        <f>1</f>
        <v>1</v>
      </c>
      <c r="I116" s="45">
        <f>1</f>
        <v>1</v>
      </c>
      <c r="J116" s="45">
        <f>1</f>
        <v>1</v>
      </c>
      <c r="K116" s="45">
        <f>1</f>
        <v>1</v>
      </c>
      <c r="L116" s="45">
        <f>1</f>
        <v>1</v>
      </c>
      <c r="M116" s="45">
        <f>1</f>
        <v>1</v>
      </c>
      <c r="N116" s="45">
        <f>1</f>
        <v>1</v>
      </c>
      <c r="O116" s="45">
        <f>1</f>
        <v>1</v>
      </c>
      <c r="P116" s="45">
        <f>1</f>
        <v>1</v>
      </c>
      <c r="Q116" s="45">
        <f>1</f>
        <v>1</v>
      </c>
      <c r="T116" s="188"/>
      <c r="U116" s="188"/>
      <c r="V116" s="188"/>
      <c r="W116" s="188"/>
    </row>
    <row r="117" spans="1:23" ht="12.75" customHeight="1" x14ac:dyDescent="0.25">
      <c r="A117" s="14" t="s">
        <v>244</v>
      </c>
      <c r="B117" s="14" t="s">
        <v>245</v>
      </c>
      <c r="C117" s="14" t="s">
        <v>282</v>
      </c>
      <c r="D117" s="20">
        <f>2</f>
        <v>2</v>
      </c>
      <c r="E117" s="20">
        <f>2</f>
        <v>2</v>
      </c>
      <c r="F117" s="20">
        <f>3</f>
        <v>3</v>
      </c>
      <c r="G117" s="20">
        <f>3</f>
        <v>3</v>
      </c>
      <c r="H117" s="20">
        <f>3</f>
        <v>3</v>
      </c>
      <c r="I117" s="45">
        <f>4</f>
        <v>4</v>
      </c>
      <c r="J117" s="45">
        <f>5</f>
        <v>5</v>
      </c>
      <c r="K117" s="45">
        <f>5</f>
        <v>5</v>
      </c>
      <c r="L117" s="45">
        <f>5</f>
        <v>5</v>
      </c>
      <c r="M117" s="45">
        <f>5</f>
        <v>5</v>
      </c>
      <c r="N117" s="45">
        <f>5</f>
        <v>5</v>
      </c>
      <c r="O117" s="20">
        <f>7</f>
        <v>7</v>
      </c>
      <c r="P117" s="20">
        <f>7</f>
        <v>7</v>
      </c>
      <c r="Q117" s="20">
        <f>7</f>
        <v>7</v>
      </c>
      <c r="T117" s="188"/>
      <c r="U117" s="188"/>
      <c r="V117" s="188"/>
      <c r="W117" s="188"/>
    </row>
    <row r="118" spans="1:23" ht="18.75" customHeight="1" x14ac:dyDescent="0.25">
      <c r="A118" s="254" t="s">
        <v>1194</v>
      </c>
      <c r="B118" s="269"/>
      <c r="C118" s="14"/>
      <c r="D118" s="64">
        <f>SUM(D112:D117)</f>
        <v>25</v>
      </c>
      <c r="E118" s="64">
        <f t="shared" ref="E118:Q118" si="29">SUM(E112:E117)</f>
        <v>41</v>
      </c>
      <c r="F118" s="64">
        <f t="shared" si="29"/>
        <v>49</v>
      </c>
      <c r="G118" s="64">
        <f t="shared" si="29"/>
        <v>46</v>
      </c>
      <c r="H118" s="64">
        <f t="shared" si="29"/>
        <v>39</v>
      </c>
      <c r="I118" s="64">
        <f t="shared" si="29"/>
        <v>45</v>
      </c>
      <c r="J118" s="64">
        <f t="shared" si="29"/>
        <v>39</v>
      </c>
      <c r="K118" s="64">
        <f t="shared" si="29"/>
        <v>39</v>
      </c>
      <c r="L118" s="64">
        <f t="shared" si="29"/>
        <v>39</v>
      </c>
      <c r="M118" s="64">
        <f>SUM(M113:M117)</f>
        <v>34</v>
      </c>
      <c r="N118" s="64">
        <f t="shared" si="29"/>
        <v>31</v>
      </c>
      <c r="O118" s="64">
        <f t="shared" si="29"/>
        <v>31</v>
      </c>
      <c r="P118" s="64">
        <f t="shared" si="29"/>
        <v>31</v>
      </c>
      <c r="Q118" s="64">
        <f t="shared" si="29"/>
        <v>31</v>
      </c>
      <c r="T118" s="188"/>
      <c r="U118" s="188"/>
      <c r="V118" s="188"/>
      <c r="W118" s="188"/>
    </row>
    <row r="119" spans="1:23" ht="17.25" customHeight="1" x14ac:dyDescent="0.25">
      <c r="A119" s="257" t="s">
        <v>247</v>
      </c>
      <c r="B119" s="259"/>
      <c r="C119" s="67"/>
      <c r="D119" s="20"/>
      <c r="E119" s="20"/>
      <c r="F119" s="20"/>
      <c r="G119" s="45"/>
      <c r="H119" s="45"/>
      <c r="I119" s="45"/>
      <c r="J119" s="20"/>
      <c r="K119" s="20"/>
      <c r="L119" s="20"/>
      <c r="M119" s="20"/>
      <c r="N119" s="20"/>
      <c r="O119" s="20"/>
      <c r="P119" s="20"/>
      <c r="Q119" s="20"/>
      <c r="T119" s="188"/>
      <c r="U119" s="188"/>
      <c r="V119" s="188"/>
      <c r="W119" s="188"/>
    </row>
    <row r="120" spans="1:23" x14ac:dyDescent="0.25">
      <c r="A120" s="14" t="s">
        <v>437</v>
      </c>
      <c r="B120" s="14" t="s">
        <v>438</v>
      </c>
      <c r="C120" s="14"/>
      <c r="D120" s="20"/>
      <c r="E120" s="20"/>
      <c r="F120" s="20"/>
      <c r="G120" s="45"/>
      <c r="H120" s="45"/>
      <c r="I120" s="45"/>
      <c r="J120" s="20"/>
      <c r="K120" s="20"/>
      <c r="L120" s="20"/>
      <c r="M120" s="20"/>
      <c r="N120" s="20"/>
      <c r="O120" s="20"/>
      <c r="P120" s="20"/>
      <c r="Q120" s="20"/>
      <c r="T120" s="188"/>
      <c r="U120" s="188"/>
      <c r="V120" s="188"/>
      <c r="W120" s="188"/>
    </row>
    <row r="121" spans="1:23" x14ac:dyDescent="0.25">
      <c r="A121" s="14" t="s">
        <v>473</v>
      </c>
      <c r="B121" s="14" t="s">
        <v>440</v>
      </c>
      <c r="C121" s="14" t="s">
        <v>282</v>
      </c>
      <c r="D121" s="20"/>
      <c r="E121" s="20"/>
      <c r="F121" s="20"/>
      <c r="G121" s="45"/>
      <c r="H121" s="45"/>
      <c r="I121" s="45">
        <f>1</f>
        <v>1</v>
      </c>
      <c r="J121" s="20"/>
      <c r="K121" s="20">
        <f>1</f>
        <v>1</v>
      </c>
      <c r="L121" s="20"/>
      <c r="M121" s="20"/>
      <c r="N121" s="20">
        <f>1</f>
        <v>1</v>
      </c>
      <c r="O121" s="20"/>
      <c r="P121" s="20">
        <f>1</f>
        <v>1</v>
      </c>
      <c r="Q121" s="20">
        <f>1</f>
        <v>1</v>
      </c>
      <c r="T121" s="188"/>
      <c r="U121" s="188"/>
      <c r="V121" s="188"/>
      <c r="W121" s="188"/>
    </row>
    <row r="122" spans="1:23" x14ac:dyDescent="0.25">
      <c r="A122" s="14" t="s">
        <v>474</v>
      </c>
      <c r="B122" s="14" t="s">
        <v>442</v>
      </c>
      <c r="C122" s="14" t="s">
        <v>282</v>
      </c>
      <c r="D122" s="20"/>
      <c r="E122" s="20"/>
      <c r="F122" s="20"/>
      <c r="G122" s="45"/>
      <c r="H122" s="45"/>
      <c r="I122" s="45"/>
      <c r="J122" s="20"/>
      <c r="K122" s="20"/>
      <c r="L122" s="20"/>
      <c r="M122" s="20"/>
      <c r="N122" s="20"/>
      <c r="O122" s="20"/>
      <c r="P122" s="20"/>
      <c r="Q122" s="20"/>
      <c r="T122" s="188"/>
      <c r="U122" s="188"/>
      <c r="V122" s="188"/>
      <c r="W122" s="188"/>
    </row>
    <row r="123" spans="1:23" x14ac:dyDescent="0.25">
      <c r="A123" s="58" t="s">
        <v>248</v>
      </c>
      <c r="B123" s="58" t="s">
        <v>249</v>
      </c>
      <c r="C123" s="58"/>
      <c r="D123" s="20"/>
      <c r="E123" s="20"/>
      <c r="F123" s="20"/>
      <c r="G123" s="45"/>
      <c r="H123" s="45"/>
      <c r="I123" s="45"/>
      <c r="J123" s="20"/>
      <c r="K123" s="20"/>
      <c r="L123" s="20"/>
      <c r="M123" s="20"/>
      <c r="N123" s="20"/>
      <c r="O123" s="20"/>
      <c r="P123" s="20"/>
      <c r="Q123" s="20"/>
      <c r="T123" s="188"/>
      <c r="U123" s="188"/>
      <c r="V123" s="188"/>
      <c r="W123" s="188"/>
    </row>
    <row r="124" spans="1:23" x14ac:dyDescent="0.25">
      <c r="A124" s="33" t="s">
        <v>475</v>
      </c>
      <c r="B124" s="33" t="s">
        <v>476</v>
      </c>
      <c r="C124" s="33" t="s">
        <v>282</v>
      </c>
      <c r="D124" s="20">
        <f>1</f>
        <v>1</v>
      </c>
      <c r="E124" s="20">
        <f>1</f>
        <v>1</v>
      </c>
      <c r="F124" s="20">
        <f>1</f>
        <v>1</v>
      </c>
      <c r="G124" s="20">
        <f>1</f>
        <v>1</v>
      </c>
      <c r="H124" s="20">
        <f>1</f>
        <v>1</v>
      </c>
      <c r="I124" s="20">
        <f>1+1</f>
        <v>2</v>
      </c>
      <c r="J124" s="20">
        <f>1</f>
        <v>1</v>
      </c>
      <c r="K124" s="20">
        <f>1</f>
        <v>1</v>
      </c>
      <c r="L124" s="20">
        <f>1</f>
        <v>1</v>
      </c>
      <c r="M124" s="20">
        <f>1</f>
        <v>1</v>
      </c>
      <c r="N124" s="20">
        <f>1</f>
        <v>1</v>
      </c>
      <c r="O124" s="20">
        <f>1</f>
        <v>1</v>
      </c>
      <c r="P124" s="20">
        <f>1</f>
        <v>1</v>
      </c>
      <c r="Q124" s="20">
        <f>1</f>
        <v>1</v>
      </c>
      <c r="T124" s="188"/>
      <c r="U124" s="188"/>
      <c r="V124" s="188"/>
      <c r="W124" s="188"/>
    </row>
    <row r="125" spans="1:23" x14ac:dyDescent="0.25">
      <c r="A125" s="33" t="s">
        <v>250</v>
      </c>
      <c r="B125" s="33" t="s">
        <v>246</v>
      </c>
      <c r="C125" s="33" t="s">
        <v>282</v>
      </c>
      <c r="D125" s="20">
        <f>3</f>
        <v>3</v>
      </c>
      <c r="E125" s="20">
        <f>3</f>
        <v>3</v>
      </c>
      <c r="F125" s="20">
        <f>3</f>
        <v>3</v>
      </c>
      <c r="G125" s="20">
        <f>3</f>
        <v>3</v>
      </c>
      <c r="H125" s="20">
        <f>3</f>
        <v>3</v>
      </c>
      <c r="I125" s="20">
        <f>3</f>
        <v>3</v>
      </c>
      <c r="J125" s="20">
        <f>3</f>
        <v>3</v>
      </c>
      <c r="K125" s="20">
        <f>3</f>
        <v>3</v>
      </c>
      <c r="L125" s="20">
        <f>3</f>
        <v>3</v>
      </c>
      <c r="M125" s="20">
        <f>3</f>
        <v>3</v>
      </c>
      <c r="N125" s="20">
        <f>3</f>
        <v>3</v>
      </c>
      <c r="O125" s="20">
        <f>3</f>
        <v>3</v>
      </c>
      <c r="P125" s="20">
        <f>3</f>
        <v>3</v>
      </c>
      <c r="Q125" s="20">
        <f>3</f>
        <v>3</v>
      </c>
      <c r="T125" s="188"/>
      <c r="U125" s="188"/>
      <c r="V125" s="188"/>
      <c r="W125" s="188"/>
    </row>
    <row r="126" spans="1:23" x14ac:dyDescent="0.25">
      <c r="A126" s="33" t="s">
        <v>443</v>
      </c>
      <c r="B126" s="33" t="s">
        <v>444</v>
      </c>
      <c r="C126" s="33"/>
      <c r="D126" s="21"/>
      <c r="E126" s="20"/>
      <c r="F126" s="20"/>
      <c r="G126" s="45"/>
      <c r="H126" s="45"/>
      <c r="I126" s="45"/>
      <c r="J126" s="20"/>
      <c r="K126" s="20"/>
      <c r="L126" s="20"/>
      <c r="M126" s="20"/>
      <c r="N126" s="20"/>
      <c r="O126" s="20"/>
      <c r="P126" s="20"/>
      <c r="Q126" s="20"/>
      <c r="T126" s="188"/>
      <c r="U126" s="188"/>
      <c r="V126" s="188"/>
      <c r="W126" s="188"/>
    </row>
    <row r="127" spans="1:23" x14ac:dyDescent="0.25">
      <c r="A127" s="33" t="s">
        <v>477</v>
      </c>
      <c r="B127" s="33" t="s">
        <v>445</v>
      </c>
      <c r="C127" s="33" t="s">
        <v>282</v>
      </c>
      <c r="D127" s="21"/>
      <c r="E127" s="21"/>
      <c r="F127" s="21"/>
      <c r="G127" s="43"/>
      <c r="H127" s="43"/>
      <c r="I127" s="43"/>
      <c r="J127" s="21"/>
      <c r="K127" s="21"/>
      <c r="L127" s="20"/>
      <c r="M127" s="20"/>
      <c r="N127" s="20"/>
      <c r="O127" s="20"/>
      <c r="P127" s="20"/>
      <c r="Q127" s="20"/>
      <c r="T127" s="188"/>
      <c r="U127" s="188"/>
      <c r="V127" s="188"/>
      <c r="W127" s="188"/>
    </row>
    <row r="128" spans="1:23" x14ac:dyDescent="0.25">
      <c r="A128" s="33" t="s">
        <v>446</v>
      </c>
      <c r="B128" s="33" t="s">
        <v>447</v>
      </c>
      <c r="C128" s="33"/>
      <c r="D128" s="21"/>
      <c r="E128" s="21"/>
      <c r="F128" s="21"/>
      <c r="G128" s="43"/>
      <c r="H128" s="43"/>
      <c r="I128" s="43"/>
      <c r="J128" s="21"/>
      <c r="K128" s="21"/>
      <c r="L128" s="20"/>
      <c r="M128" s="20"/>
      <c r="N128" s="20"/>
      <c r="O128" s="20"/>
      <c r="P128" s="20"/>
      <c r="Q128" s="20"/>
      <c r="T128" s="188"/>
      <c r="U128" s="188"/>
      <c r="V128" s="188"/>
      <c r="W128" s="188"/>
    </row>
    <row r="129" spans="1:23" x14ac:dyDescent="0.25">
      <c r="A129" s="33" t="s">
        <v>478</v>
      </c>
      <c r="B129" s="33" t="s">
        <v>448</v>
      </c>
      <c r="C129" s="33" t="s">
        <v>282</v>
      </c>
      <c r="D129" s="21"/>
      <c r="E129" s="21"/>
      <c r="F129" s="21"/>
      <c r="G129" s="43"/>
      <c r="H129" s="43"/>
      <c r="I129" s="43"/>
      <c r="J129" s="21"/>
      <c r="K129" s="21"/>
      <c r="L129" s="20"/>
      <c r="M129" s="20"/>
      <c r="N129" s="20"/>
      <c r="O129" s="20"/>
      <c r="P129" s="20"/>
      <c r="Q129" s="20"/>
      <c r="T129" s="188"/>
      <c r="U129" s="188"/>
      <c r="V129" s="188"/>
      <c r="W129" s="188"/>
    </row>
    <row r="130" spans="1:23" x14ac:dyDescent="0.25">
      <c r="A130" s="58" t="s">
        <v>311</v>
      </c>
      <c r="B130" s="58" t="s">
        <v>312</v>
      </c>
      <c r="C130" s="58"/>
      <c r="D130" s="21"/>
      <c r="E130" s="20"/>
      <c r="F130" s="20"/>
      <c r="G130" s="45"/>
      <c r="H130" s="45"/>
      <c r="I130" s="45"/>
      <c r="J130" s="20"/>
      <c r="K130" s="20"/>
      <c r="L130" s="20"/>
      <c r="M130" s="20"/>
      <c r="N130" s="20"/>
      <c r="O130" s="20"/>
      <c r="P130" s="20"/>
      <c r="Q130" s="20"/>
      <c r="T130" s="188"/>
      <c r="U130" s="188"/>
      <c r="V130" s="188"/>
      <c r="W130" s="188"/>
    </row>
    <row r="131" spans="1:23" x14ac:dyDescent="0.25">
      <c r="A131" s="58" t="s">
        <v>313</v>
      </c>
      <c r="B131" s="58" t="s">
        <v>314</v>
      </c>
      <c r="C131" s="58" t="s">
        <v>282</v>
      </c>
      <c r="D131" s="21">
        <f>40</f>
        <v>40</v>
      </c>
      <c r="E131" s="21">
        <f>40</f>
        <v>40</v>
      </c>
      <c r="F131" s="21">
        <f>40</f>
        <v>40</v>
      </c>
      <c r="G131" s="21">
        <f>40</f>
        <v>40</v>
      </c>
      <c r="H131" s="21">
        <f>40</f>
        <v>40</v>
      </c>
      <c r="I131" s="21">
        <f>40+1</f>
        <v>41</v>
      </c>
      <c r="J131" s="21">
        <f>40</f>
        <v>40</v>
      </c>
      <c r="K131" s="21">
        <f>40</f>
        <v>40</v>
      </c>
      <c r="L131" s="21">
        <f>40</f>
        <v>40</v>
      </c>
      <c r="M131" s="21">
        <f>40</f>
        <v>40</v>
      </c>
      <c r="N131" s="21">
        <f>40</f>
        <v>40</v>
      </c>
      <c r="O131" s="21">
        <f>40</f>
        <v>40</v>
      </c>
      <c r="P131" s="21">
        <f>40</f>
        <v>40</v>
      </c>
      <c r="Q131" s="21">
        <f>40</f>
        <v>40</v>
      </c>
      <c r="T131" s="188"/>
      <c r="U131" s="188"/>
      <c r="V131" s="188"/>
      <c r="W131" s="188"/>
    </row>
    <row r="132" spans="1:23" ht="30" customHeight="1" x14ac:dyDescent="0.25">
      <c r="A132" s="33" t="s">
        <v>479</v>
      </c>
      <c r="B132" s="33" t="s">
        <v>315</v>
      </c>
      <c r="C132" s="33" t="s">
        <v>282</v>
      </c>
      <c r="D132" s="21"/>
      <c r="E132" s="21"/>
      <c r="F132" s="21"/>
      <c r="G132" s="43"/>
      <c r="H132" s="43"/>
      <c r="I132" s="43"/>
      <c r="J132" s="21"/>
      <c r="K132" s="21"/>
      <c r="L132" s="21"/>
      <c r="M132" s="21"/>
      <c r="N132" s="21"/>
      <c r="O132" s="21"/>
      <c r="P132" s="21"/>
      <c r="Q132" s="21"/>
      <c r="T132" s="188"/>
      <c r="U132" s="188"/>
      <c r="V132" s="188"/>
      <c r="W132" s="188"/>
    </row>
    <row r="133" spans="1:23" x14ac:dyDescent="0.25">
      <c r="A133" s="33" t="s">
        <v>480</v>
      </c>
      <c r="B133" s="33" t="s">
        <v>481</v>
      </c>
      <c r="C133" s="33" t="s">
        <v>282</v>
      </c>
      <c r="D133" s="21"/>
      <c r="E133" s="21"/>
      <c r="F133" s="21"/>
      <c r="G133" s="43"/>
      <c r="H133" s="43"/>
      <c r="I133" s="43"/>
      <c r="J133" s="21"/>
      <c r="K133" s="21"/>
      <c r="L133" s="21"/>
      <c r="M133" s="21"/>
      <c r="N133" s="21"/>
      <c r="O133" s="21"/>
      <c r="P133" s="21"/>
      <c r="Q133" s="21"/>
      <c r="T133" s="188"/>
      <c r="U133" s="188"/>
      <c r="V133" s="188"/>
      <c r="W133" s="188"/>
    </row>
    <row r="134" spans="1:23" x14ac:dyDescent="0.25">
      <c r="A134" s="254" t="s">
        <v>1195</v>
      </c>
      <c r="B134" s="269"/>
      <c r="C134" s="33"/>
      <c r="D134" s="63">
        <f>SUM(D121:D133)</f>
        <v>44</v>
      </c>
      <c r="E134" s="63">
        <f t="shared" ref="E134:Q134" si="30">SUM(E121:E133)</f>
        <v>44</v>
      </c>
      <c r="F134" s="63">
        <f t="shared" si="30"/>
        <v>44</v>
      </c>
      <c r="G134" s="63">
        <f t="shared" si="30"/>
        <v>44</v>
      </c>
      <c r="H134" s="63">
        <f t="shared" si="30"/>
        <v>44</v>
      </c>
      <c r="I134" s="63">
        <f t="shared" si="30"/>
        <v>47</v>
      </c>
      <c r="J134" s="63">
        <f t="shared" si="30"/>
        <v>44</v>
      </c>
      <c r="K134" s="63">
        <f t="shared" si="30"/>
        <v>45</v>
      </c>
      <c r="L134" s="63">
        <f t="shared" si="30"/>
        <v>44</v>
      </c>
      <c r="M134" s="63">
        <f t="shared" si="30"/>
        <v>44</v>
      </c>
      <c r="N134" s="63">
        <f t="shared" si="30"/>
        <v>45</v>
      </c>
      <c r="O134" s="63">
        <f t="shared" si="30"/>
        <v>44</v>
      </c>
      <c r="P134" s="63">
        <f t="shared" si="30"/>
        <v>45</v>
      </c>
      <c r="Q134" s="63">
        <f t="shared" si="30"/>
        <v>45</v>
      </c>
      <c r="T134" s="188"/>
      <c r="U134" s="188"/>
      <c r="V134" s="188"/>
      <c r="W134" s="188"/>
    </row>
    <row r="135" spans="1:23" ht="17.25" customHeight="1" x14ac:dyDescent="0.25">
      <c r="A135" s="305" t="s">
        <v>38</v>
      </c>
      <c r="B135" s="305"/>
      <c r="C135" s="14"/>
      <c r="D135" s="20"/>
      <c r="E135" s="20"/>
      <c r="F135" s="20"/>
      <c r="G135" s="45"/>
      <c r="H135" s="45"/>
      <c r="I135" s="45"/>
      <c r="J135" s="20"/>
      <c r="K135" s="20"/>
      <c r="L135" s="20"/>
      <c r="M135" s="20"/>
      <c r="N135" s="20"/>
      <c r="O135" s="20"/>
      <c r="P135" s="20"/>
      <c r="Q135" s="20"/>
    </row>
    <row r="136" spans="1:23" x14ac:dyDescent="0.25">
      <c r="A136" s="14" t="s">
        <v>265</v>
      </c>
      <c r="B136" s="14" t="s">
        <v>266</v>
      </c>
      <c r="C136" s="200"/>
      <c r="D136" s="20"/>
      <c r="E136" s="20"/>
      <c r="F136" s="20"/>
      <c r="G136" s="45"/>
      <c r="H136" s="45"/>
      <c r="I136" s="45"/>
      <c r="J136" s="20"/>
      <c r="K136" s="20"/>
      <c r="L136" s="20"/>
      <c r="M136" s="20"/>
      <c r="N136" s="20"/>
      <c r="O136" s="20"/>
      <c r="P136" s="20"/>
      <c r="Q136" s="20"/>
    </row>
    <row r="137" spans="1:23" x14ac:dyDescent="0.25">
      <c r="A137" s="14" t="s">
        <v>493</v>
      </c>
      <c r="B137" s="14" t="s">
        <v>494</v>
      </c>
      <c r="C137" s="200" t="s">
        <v>282</v>
      </c>
      <c r="D137" s="20">
        <f>1</f>
        <v>1</v>
      </c>
      <c r="E137" s="20">
        <f>1</f>
        <v>1</v>
      </c>
      <c r="F137" s="20">
        <f>1</f>
        <v>1</v>
      </c>
      <c r="G137" s="20">
        <f>1</f>
        <v>1</v>
      </c>
      <c r="H137" s="20">
        <f>1</f>
        <v>1</v>
      </c>
      <c r="I137" s="20">
        <f>1+1</f>
        <v>2</v>
      </c>
      <c r="J137" s="20">
        <f>1</f>
        <v>1</v>
      </c>
      <c r="K137" s="20">
        <f>1+1</f>
        <v>2</v>
      </c>
      <c r="L137" s="20">
        <f>1</f>
        <v>1</v>
      </c>
      <c r="M137" s="20">
        <f>1+1</f>
        <v>2</v>
      </c>
      <c r="N137" s="20">
        <f>1</f>
        <v>1</v>
      </c>
      <c r="O137" s="20">
        <f>1+1</f>
        <v>2</v>
      </c>
      <c r="P137" s="20">
        <f>1</f>
        <v>1</v>
      </c>
      <c r="Q137" s="20">
        <f>1</f>
        <v>1</v>
      </c>
    </row>
    <row r="138" spans="1:23" x14ac:dyDescent="0.25">
      <c r="A138" s="14" t="s">
        <v>267</v>
      </c>
      <c r="B138" s="14" t="s">
        <v>268</v>
      </c>
      <c r="C138" s="14" t="s">
        <v>1</v>
      </c>
      <c r="D138" s="20">
        <f>1</f>
        <v>1</v>
      </c>
      <c r="E138" s="20">
        <f>1</f>
        <v>1</v>
      </c>
      <c r="F138" s="20">
        <f>1</f>
        <v>1</v>
      </c>
      <c r="G138" s="20">
        <f>1</f>
        <v>1</v>
      </c>
      <c r="H138" s="20">
        <f>1</f>
        <v>1</v>
      </c>
      <c r="I138" s="20">
        <f>1</f>
        <v>1</v>
      </c>
      <c r="J138" s="20">
        <f>1</f>
        <v>1</v>
      </c>
      <c r="K138" s="20">
        <f>1</f>
        <v>1</v>
      </c>
      <c r="L138" s="20">
        <f>1</f>
        <v>1</v>
      </c>
      <c r="M138" s="20">
        <f>1</f>
        <v>1</v>
      </c>
      <c r="N138" s="20">
        <f>1</f>
        <v>1</v>
      </c>
      <c r="O138" s="20">
        <f>1</f>
        <v>1</v>
      </c>
      <c r="P138" s="20">
        <f>1</f>
        <v>1</v>
      </c>
      <c r="Q138" s="20">
        <f>1</f>
        <v>1</v>
      </c>
    </row>
    <row r="139" spans="1:23" ht="15" customHeight="1" x14ac:dyDescent="0.25">
      <c r="A139" s="14" t="s">
        <v>39</v>
      </c>
      <c r="B139" s="270" t="s">
        <v>104</v>
      </c>
      <c r="C139" s="271"/>
      <c r="D139" s="20"/>
      <c r="E139" s="20"/>
      <c r="F139" s="20"/>
      <c r="G139" s="45"/>
      <c r="H139" s="45"/>
      <c r="I139" s="45"/>
      <c r="J139" s="20"/>
      <c r="K139" s="20"/>
      <c r="L139" s="20"/>
      <c r="M139" s="20"/>
      <c r="N139" s="20"/>
      <c r="O139" s="20"/>
      <c r="P139" s="20"/>
      <c r="Q139" s="20"/>
    </row>
    <row r="140" spans="1:23" ht="16.5" customHeight="1" x14ac:dyDescent="0.25">
      <c r="A140" s="14" t="s">
        <v>495</v>
      </c>
      <c r="B140" s="54" t="s">
        <v>496</v>
      </c>
      <c r="C140" s="55" t="s">
        <v>282</v>
      </c>
      <c r="D140" s="20"/>
      <c r="E140" s="20"/>
      <c r="F140" s="20"/>
      <c r="G140" s="45">
        <f>1</f>
        <v>1</v>
      </c>
      <c r="H140" s="45">
        <f>1</f>
        <v>1</v>
      </c>
      <c r="I140" s="45">
        <f>1</f>
        <v>1</v>
      </c>
      <c r="J140" s="20"/>
      <c r="K140" s="20"/>
      <c r="L140" s="20"/>
      <c r="M140" s="20"/>
      <c r="N140" s="20"/>
      <c r="O140" s="20"/>
      <c r="P140" s="20"/>
      <c r="Q140" s="20"/>
    </row>
    <row r="141" spans="1:23" x14ac:dyDescent="0.25">
      <c r="A141" s="14" t="s">
        <v>497</v>
      </c>
      <c r="B141" s="54" t="s">
        <v>498</v>
      </c>
      <c r="C141" s="55" t="s">
        <v>282</v>
      </c>
      <c r="D141" s="20">
        <f>2</f>
        <v>2</v>
      </c>
      <c r="E141" s="20">
        <f>2</f>
        <v>2</v>
      </c>
      <c r="F141" s="20">
        <f>2</f>
        <v>2</v>
      </c>
      <c r="G141" s="20">
        <f>2</f>
        <v>2</v>
      </c>
      <c r="H141" s="20">
        <f>2</f>
        <v>2</v>
      </c>
      <c r="I141" s="20">
        <f>2</f>
        <v>2</v>
      </c>
      <c r="J141" s="20">
        <f>2</f>
        <v>2</v>
      </c>
      <c r="K141" s="20">
        <f>2</f>
        <v>2</v>
      </c>
      <c r="L141" s="20">
        <f>2</f>
        <v>2</v>
      </c>
      <c r="M141" s="20">
        <f>2</f>
        <v>2</v>
      </c>
      <c r="N141" s="20">
        <f>2</f>
        <v>2</v>
      </c>
      <c r="O141" s="20">
        <f>2</f>
        <v>2</v>
      </c>
      <c r="P141" s="20">
        <f>2</f>
        <v>2</v>
      </c>
      <c r="Q141" s="20">
        <f>2</f>
        <v>2</v>
      </c>
    </row>
    <row r="142" spans="1:23" x14ac:dyDescent="0.25">
      <c r="A142" s="14" t="s">
        <v>499</v>
      </c>
      <c r="B142" s="14" t="s">
        <v>500</v>
      </c>
      <c r="C142" s="14" t="s">
        <v>282</v>
      </c>
      <c r="D142" s="20">
        <f>5</f>
        <v>5</v>
      </c>
      <c r="E142" s="20">
        <f>3</f>
        <v>3</v>
      </c>
      <c r="F142" s="20">
        <f>3</f>
        <v>3</v>
      </c>
      <c r="G142" s="20">
        <f>3</f>
        <v>3</v>
      </c>
      <c r="H142" s="20">
        <f>3</f>
        <v>3</v>
      </c>
      <c r="I142" s="20">
        <f>3</f>
        <v>3</v>
      </c>
      <c r="J142" s="20">
        <f>3</f>
        <v>3</v>
      </c>
      <c r="K142" s="20">
        <f>3</f>
        <v>3</v>
      </c>
      <c r="L142" s="20">
        <f>3</f>
        <v>3</v>
      </c>
      <c r="M142" s="20">
        <f>3</f>
        <v>3</v>
      </c>
      <c r="N142" s="20">
        <f>3</f>
        <v>3</v>
      </c>
      <c r="O142" s="20">
        <f>3</f>
        <v>3</v>
      </c>
      <c r="P142" s="20">
        <f>3</f>
        <v>3</v>
      </c>
      <c r="Q142" s="20">
        <f>3</f>
        <v>3</v>
      </c>
    </row>
    <row r="143" spans="1:23" ht="30" x14ac:dyDescent="0.25">
      <c r="A143" s="14" t="s">
        <v>209</v>
      </c>
      <c r="B143" s="14" t="s">
        <v>210</v>
      </c>
      <c r="C143" s="33" t="s">
        <v>282</v>
      </c>
      <c r="D143" s="20">
        <f>4</f>
        <v>4</v>
      </c>
      <c r="E143" s="20">
        <f>4</f>
        <v>4</v>
      </c>
      <c r="F143" s="20">
        <f>4</f>
        <v>4</v>
      </c>
      <c r="G143" s="20">
        <f>4</f>
        <v>4</v>
      </c>
      <c r="H143" s="20">
        <f>4</f>
        <v>4</v>
      </c>
      <c r="I143" s="20">
        <f>4</f>
        <v>4</v>
      </c>
      <c r="J143" s="20">
        <f>4</f>
        <v>4</v>
      </c>
      <c r="K143" s="20">
        <f>4</f>
        <v>4</v>
      </c>
      <c r="L143" s="20">
        <f>4</f>
        <v>4</v>
      </c>
      <c r="M143" s="20">
        <f>4</f>
        <v>4</v>
      </c>
      <c r="N143" s="20">
        <f>4</f>
        <v>4</v>
      </c>
      <c r="O143" s="20">
        <f>4</f>
        <v>4</v>
      </c>
      <c r="P143" s="20">
        <f>4</f>
        <v>4</v>
      </c>
      <c r="Q143" s="20">
        <f>4</f>
        <v>4</v>
      </c>
    </row>
    <row r="144" spans="1:23" ht="30" x14ac:dyDescent="0.25">
      <c r="A144" s="14" t="s">
        <v>269</v>
      </c>
      <c r="B144" s="34" t="s">
        <v>270</v>
      </c>
      <c r="C144" s="33" t="s">
        <v>282</v>
      </c>
      <c r="D144" s="20">
        <f>2</f>
        <v>2</v>
      </c>
      <c r="E144" s="20">
        <f>2</f>
        <v>2</v>
      </c>
      <c r="F144" s="20">
        <f>2</f>
        <v>2</v>
      </c>
      <c r="G144" s="20">
        <f>2</f>
        <v>2</v>
      </c>
      <c r="H144" s="20">
        <f>2</f>
        <v>2</v>
      </c>
      <c r="I144" s="20">
        <f>2</f>
        <v>2</v>
      </c>
      <c r="J144" s="20">
        <f>2</f>
        <v>2</v>
      </c>
      <c r="K144" s="20">
        <f>2</f>
        <v>2</v>
      </c>
      <c r="L144" s="20">
        <f>2</f>
        <v>2</v>
      </c>
      <c r="M144" s="20">
        <f>2</f>
        <v>2</v>
      </c>
      <c r="N144" s="20">
        <f>2</f>
        <v>2</v>
      </c>
      <c r="O144" s="20">
        <f>2</f>
        <v>2</v>
      </c>
      <c r="P144" s="20">
        <f>2</f>
        <v>2</v>
      </c>
      <c r="Q144" s="20">
        <f>2</f>
        <v>2</v>
      </c>
    </row>
    <row r="145" spans="1:17" x14ac:dyDescent="0.25">
      <c r="A145" s="14" t="s">
        <v>168</v>
      </c>
      <c r="B145" s="34" t="s">
        <v>169</v>
      </c>
      <c r="C145" s="33" t="s">
        <v>282</v>
      </c>
      <c r="D145" s="20">
        <f>2</f>
        <v>2</v>
      </c>
      <c r="E145" s="20">
        <f>56+2</f>
        <v>58</v>
      </c>
      <c r="F145" s="20">
        <f t="shared" ref="F145:Q145" si="31">56+2</f>
        <v>58</v>
      </c>
      <c r="G145" s="20">
        <f t="shared" si="31"/>
        <v>58</v>
      </c>
      <c r="H145" s="20">
        <f t="shared" si="31"/>
        <v>58</v>
      </c>
      <c r="I145" s="20">
        <f t="shared" si="31"/>
        <v>58</v>
      </c>
      <c r="J145" s="20">
        <f t="shared" si="31"/>
        <v>58</v>
      </c>
      <c r="K145" s="20">
        <f t="shared" si="31"/>
        <v>58</v>
      </c>
      <c r="L145" s="20">
        <f t="shared" si="31"/>
        <v>58</v>
      </c>
      <c r="M145" s="20">
        <f t="shared" si="31"/>
        <v>58</v>
      </c>
      <c r="N145" s="20">
        <f t="shared" si="31"/>
        <v>58</v>
      </c>
      <c r="O145" s="20">
        <f t="shared" si="31"/>
        <v>58</v>
      </c>
      <c r="P145" s="20">
        <f t="shared" si="31"/>
        <v>58</v>
      </c>
      <c r="Q145" s="20">
        <f t="shared" si="31"/>
        <v>58</v>
      </c>
    </row>
    <row r="146" spans="1:17" x14ac:dyDescent="0.25">
      <c r="A146" s="14" t="s">
        <v>95</v>
      </c>
      <c r="B146" s="270" t="s">
        <v>116</v>
      </c>
      <c r="C146" s="271"/>
      <c r="D146" s="20"/>
      <c r="E146" s="20"/>
      <c r="F146" s="20"/>
      <c r="G146" s="45"/>
      <c r="H146" s="45"/>
      <c r="I146" s="45"/>
      <c r="J146" s="20"/>
      <c r="K146" s="20"/>
      <c r="L146" s="20"/>
      <c r="M146" s="20"/>
      <c r="N146" s="20"/>
      <c r="O146" s="20"/>
      <c r="P146" s="20"/>
      <c r="Q146" s="20"/>
    </row>
    <row r="147" spans="1:17" x14ac:dyDescent="0.25">
      <c r="A147" s="14" t="s">
        <v>96</v>
      </c>
      <c r="B147" s="35" t="s">
        <v>97</v>
      </c>
      <c r="C147" s="33" t="s">
        <v>282</v>
      </c>
      <c r="D147" s="20">
        <f>2</f>
        <v>2</v>
      </c>
      <c r="E147" s="20">
        <f>2</f>
        <v>2</v>
      </c>
      <c r="F147" s="20">
        <f>2</f>
        <v>2</v>
      </c>
      <c r="G147" s="20">
        <f>2</f>
        <v>2</v>
      </c>
      <c r="H147" s="20">
        <f>2</f>
        <v>2</v>
      </c>
      <c r="I147" s="20">
        <f>2</f>
        <v>2</v>
      </c>
      <c r="J147" s="20">
        <f>2</f>
        <v>2</v>
      </c>
      <c r="K147" s="20">
        <f>2</f>
        <v>2</v>
      </c>
      <c r="L147" s="20">
        <f>2</f>
        <v>2</v>
      </c>
      <c r="M147" s="20">
        <f>2</f>
        <v>2</v>
      </c>
      <c r="N147" s="20">
        <f>2</f>
        <v>2</v>
      </c>
      <c r="O147" s="20">
        <f>2</f>
        <v>2</v>
      </c>
      <c r="P147" s="20">
        <f>2</f>
        <v>2</v>
      </c>
      <c r="Q147" s="20">
        <f>2</f>
        <v>2</v>
      </c>
    </row>
    <row r="148" spans="1:17" x14ac:dyDescent="0.25">
      <c r="A148" s="14" t="s">
        <v>153</v>
      </c>
      <c r="B148" s="35" t="s">
        <v>125</v>
      </c>
      <c r="C148" s="33" t="s">
        <v>282</v>
      </c>
      <c r="D148" s="20">
        <f>2</f>
        <v>2</v>
      </c>
      <c r="E148" s="20">
        <f>2</f>
        <v>2</v>
      </c>
      <c r="F148" s="20">
        <f>2</f>
        <v>2</v>
      </c>
      <c r="G148" s="20">
        <f>2</f>
        <v>2</v>
      </c>
      <c r="H148" s="20">
        <f>2</f>
        <v>2</v>
      </c>
      <c r="I148" s="20">
        <f>2</f>
        <v>2</v>
      </c>
      <c r="J148" s="20">
        <f>2</f>
        <v>2</v>
      </c>
      <c r="K148" s="20">
        <f>2</f>
        <v>2</v>
      </c>
      <c r="L148" s="20">
        <f>2</f>
        <v>2</v>
      </c>
      <c r="M148" s="20">
        <f>2</f>
        <v>2</v>
      </c>
      <c r="N148" s="20">
        <f>2</f>
        <v>2</v>
      </c>
      <c r="O148" s="20">
        <f>2</f>
        <v>2</v>
      </c>
      <c r="P148" s="20">
        <f>2</f>
        <v>2</v>
      </c>
      <c r="Q148" s="20">
        <f>2</f>
        <v>2</v>
      </c>
    </row>
    <row r="149" spans="1:17" x14ac:dyDescent="0.25">
      <c r="A149" s="14" t="s">
        <v>1151</v>
      </c>
      <c r="B149" s="35" t="s">
        <v>993</v>
      </c>
      <c r="C149" s="201" t="s">
        <v>282</v>
      </c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</row>
    <row r="150" spans="1:17" x14ac:dyDescent="0.25">
      <c r="A150" s="14" t="s">
        <v>501</v>
      </c>
      <c r="B150" s="35" t="s">
        <v>502</v>
      </c>
      <c r="C150" s="62" t="s">
        <v>282</v>
      </c>
      <c r="D150" s="20">
        <f>2</f>
        <v>2</v>
      </c>
      <c r="E150" s="20">
        <f>2</f>
        <v>2</v>
      </c>
      <c r="F150" s="20">
        <f>2</f>
        <v>2</v>
      </c>
      <c r="G150" s="20">
        <f>2</f>
        <v>2</v>
      </c>
      <c r="H150" s="20">
        <f>2</f>
        <v>2</v>
      </c>
      <c r="I150" s="20">
        <f>2</f>
        <v>2</v>
      </c>
      <c r="J150" s="20">
        <f>2</f>
        <v>2</v>
      </c>
      <c r="K150" s="20">
        <f>2</f>
        <v>2</v>
      </c>
      <c r="L150" s="20">
        <f>2</f>
        <v>2</v>
      </c>
      <c r="M150" s="20">
        <f>2</f>
        <v>2</v>
      </c>
      <c r="N150" s="20">
        <f>2</f>
        <v>2</v>
      </c>
      <c r="O150" s="20">
        <f>2</f>
        <v>2</v>
      </c>
      <c r="P150" s="20">
        <f>2</f>
        <v>2</v>
      </c>
      <c r="Q150" s="20">
        <f>2</f>
        <v>2</v>
      </c>
    </row>
    <row r="151" spans="1:17" x14ac:dyDescent="0.25">
      <c r="A151" s="14" t="s">
        <v>503</v>
      </c>
      <c r="B151" s="35" t="s">
        <v>504</v>
      </c>
      <c r="C151" s="62" t="s">
        <v>282</v>
      </c>
      <c r="D151" s="20">
        <f>1</f>
        <v>1</v>
      </c>
      <c r="E151" s="20">
        <f>1</f>
        <v>1</v>
      </c>
      <c r="F151" s="20">
        <f>1</f>
        <v>1</v>
      </c>
      <c r="G151" s="20">
        <f>1</f>
        <v>1</v>
      </c>
      <c r="H151" s="20">
        <f>1</f>
        <v>1</v>
      </c>
      <c r="I151" s="20">
        <f>1</f>
        <v>1</v>
      </c>
      <c r="J151" s="20">
        <f>1</f>
        <v>1</v>
      </c>
      <c r="K151" s="20">
        <f>1</f>
        <v>1</v>
      </c>
      <c r="L151" s="20">
        <f>1</f>
        <v>1</v>
      </c>
      <c r="M151" s="20">
        <f>1</f>
        <v>1</v>
      </c>
      <c r="N151" s="20">
        <f>1</f>
        <v>1</v>
      </c>
      <c r="O151" s="20">
        <f>1</f>
        <v>1</v>
      </c>
      <c r="P151" s="20">
        <f>1</f>
        <v>1</v>
      </c>
      <c r="Q151" s="20">
        <f>1</f>
        <v>1</v>
      </c>
    </row>
    <row r="152" spans="1:17" x14ac:dyDescent="0.25">
      <c r="A152" s="14" t="s">
        <v>11</v>
      </c>
      <c r="B152" s="14" t="s">
        <v>12</v>
      </c>
      <c r="C152" s="62"/>
      <c r="D152" s="20"/>
      <c r="E152" s="20"/>
      <c r="F152" s="20"/>
      <c r="G152" s="45"/>
      <c r="H152" s="45"/>
      <c r="I152" s="45"/>
      <c r="J152" s="20"/>
      <c r="K152" s="20"/>
      <c r="L152" s="20"/>
      <c r="M152" s="20"/>
      <c r="N152" s="20"/>
      <c r="O152" s="20"/>
      <c r="P152" s="20"/>
      <c r="Q152" s="20"/>
    </row>
    <row r="153" spans="1:17" ht="78.75" customHeight="1" x14ac:dyDescent="0.25">
      <c r="A153" s="251" t="s">
        <v>234</v>
      </c>
      <c r="B153" s="251" t="s">
        <v>235</v>
      </c>
      <c r="C153" s="14" t="s">
        <v>508</v>
      </c>
      <c r="D153" s="20">
        <f>2</f>
        <v>2</v>
      </c>
      <c r="E153" s="20">
        <f>2</f>
        <v>2</v>
      </c>
      <c r="F153" s="20">
        <f>2</f>
        <v>2</v>
      </c>
      <c r="G153" s="20">
        <f>2</f>
        <v>2</v>
      </c>
      <c r="H153" s="20">
        <f>2</f>
        <v>2</v>
      </c>
      <c r="I153" s="20">
        <f>2</f>
        <v>2</v>
      </c>
      <c r="J153" s="20">
        <f>2</f>
        <v>2</v>
      </c>
      <c r="K153" s="20">
        <f>2</f>
        <v>2</v>
      </c>
      <c r="L153" s="20">
        <f>2</f>
        <v>2</v>
      </c>
      <c r="M153" s="20">
        <f>2</f>
        <v>2</v>
      </c>
      <c r="N153" s="20">
        <f>2</f>
        <v>2</v>
      </c>
      <c r="O153" s="20">
        <f>2</f>
        <v>2</v>
      </c>
      <c r="P153" s="20">
        <f>2</f>
        <v>2</v>
      </c>
      <c r="Q153" s="20">
        <f>2</f>
        <v>2</v>
      </c>
    </row>
    <row r="154" spans="1:17" ht="52.5" customHeight="1" x14ac:dyDescent="0.25">
      <c r="A154" s="252"/>
      <c r="B154" s="252"/>
      <c r="C154" s="35" t="s">
        <v>509</v>
      </c>
      <c r="D154" s="20">
        <f>2</f>
        <v>2</v>
      </c>
      <c r="E154" s="20">
        <f>2</f>
        <v>2</v>
      </c>
      <c r="F154" s="20">
        <f>2</f>
        <v>2</v>
      </c>
      <c r="G154" s="20">
        <f>2</f>
        <v>2</v>
      </c>
      <c r="H154" s="20">
        <f>2</f>
        <v>2</v>
      </c>
      <c r="I154" s="20">
        <f>2</f>
        <v>2</v>
      </c>
      <c r="J154" s="20">
        <f>2</f>
        <v>2</v>
      </c>
      <c r="K154" s="20">
        <f>2</f>
        <v>2</v>
      </c>
      <c r="L154" s="20">
        <f>2</f>
        <v>2</v>
      </c>
      <c r="M154" s="20">
        <f>2</f>
        <v>2</v>
      </c>
      <c r="N154" s="20">
        <f>2</f>
        <v>2</v>
      </c>
      <c r="O154" s="20">
        <f>2</f>
        <v>2</v>
      </c>
      <c r="P154" s="20">
        <f>2</f>
        <v>2</v>
      </c>
      <c r="Q154" s="20">
        <f>2</f>
        <v>2</v>
      </c>
    </row>
    <row r="155" spans="1:17" ht="63" customHeight="1" x14ac:dyDescent="0.25">
      <c r="A155" s="253"/>
      <c r="B155" s="253"/>
      <c r="C155" s="35" t="s">
        <v>1087</v>
      </c>
      <c r="D155" s="20">
        <f>2</f>
        <v>2</v>
      </c>
      <c r="E155" s="20">
        <f>2</f>
        <v>2</v>
      </c>
      <c r="F155" s="20">
        <f>2</f>
        <v>2</v>
      </c>
      <c r="G155" s="20">
        <f>2</f>
        <v>2</v>
      </c>
      <c r="H155" s="20">
        <f>2</f>
        <v>2</v>
      </c>
      <c r="I155" s="20">
        <f>2</f>
        <v>2</v>
      </c>
      <c r="J155" s="20">
        <f>2</f>
        <v>2</v>
      </c>
      <c r="K155" s="20">
        <f>2</f>
        <v>2</v>
      </c>
      <c r="L155" s="20">
        <f>2</f>
        <v>2</v>
      </c>
      <c r="M155" s="20">
        <f>2</f>
        <v>2</v>
      </c>
      <c r="N155" s="20">
        <f>2</f>
        <v>2</v>
      </c>
      <c r="O155" s="20">
        <f>2</f>
        <v>2</v>
      </c>
      <c r="P155" s="20">
        <f>2</f>
        <v>2</v>
      </c>
      <c r="Q155" s="20">
        <f>2</f>
        <v>2</v>
      </c>
    </row>
    <row r="156" spans="1:17" ht="104.25" customHeight="1" x14ac:dyDescent="0.25">
      <c r="A156" s="251" t="s">
        <v>103</v>
      </c>
      <c r="B156" s="286" t="s">
        <v>154</v>
      </c>
      <c r="C156" s="14" t="s">
        <v>506</v>
      </c>
      <c r="D156" s="20">
        <f>1</f>
        <v>1</v>
      </c>
      <c r="E156" s="20">
        <f>1</f>
        <v>1</v>
      </c>
      <c r="F156" s="20">
        <f>1</f>
        <v>1</v>
      </c>
      <c r="G156" s="20">
        <f>1</f>
        <v>1</v>
      </c>
      <c r="H156" s="20">
        <f>1</f>
        <v>1</v>
      </c>
      <c r="I156" s="20">
        <f>1</f>
        <v>1</v>
      </c>
      <c r="J156" s="20">
        <f>1</f>
        <v>1</v>
      </c>
      <c r="K156" s="20">
        <f>1</f>
        <v>1</v>
      </c>
      <c r="L156" s="20">
        <f>1</f>
        <v>1</v>
      </c>
      <c r="M156" s="20">
        <f>1</f>
        <v>1</v>
      </c>
      <c r="N156" s="20">
        <f>1</f>
        <v>1</v>
      </c>
      <c r="O156" s="20">
        <f>1</f>
        <v>1</v>
      </c>
      <c r="P156" s="20">
        <f>1</f>
        <v>1</v>
      </c>
      <c r="Q156" s="20">
        <f>1</f>
        <v>1</v>
      </c>
    </row>
    <row r="157" spans="1:17" ht="63" customHeight="1" x14ac:dyDescent="0.25">
      <c r="A157" s="252"/>
      <c r="B157" s="287"/>
      <c r="C157" s="35" t="s">
        <v>505</v>
      </c>
      <c r="D157" s="20">
        <f>1</f>
        <v>1</v>
      </c>
      <c r="E157" s="20">
        <f>1</f>
        <v>1</v>
      </c>
      <c r="F157" s="20">
        <f>1</f>
        <v>1</v>
      </c>
      <c r="G157" s="20">
        <f>1</f>
        <v>1</v>
      </c>
      <c r="H157" s="20">
        <f>1</f>
        <v>1</v>
      </c>
      <c r="I157" s="20">
        <f>1</f>
        <v>1</v>
      </c>
      <c r="J157" s="20">
        <f>1</f>
        <v>1</v>
      </c>
      <c r="K157" s="20">
        <f>1</f>
        <v>1</v>
      </c>
      <c r="L157" s="20">
        <f>1</f>
        <v>1</v>
      </c>
      <c r="M157" s="20">
        <f>1</f>
        <v>1</v>
      </c>
      <c r="N157" s="20">
        <f>1</f>
        <v>1</v>
      </c>
      <c r="O157" s="20">
        <f>1</f>
        <v>1</v>
      </c>
      <c r="P157" s="20">
        <f>1</f>
        <v>1</v>
      </c>
      <c r="Q157" s="20">
        <f>1</f>
        <v>1</v>
      </c>
    </row>
    <row r="158" spans="1:17" ht="63" customHeight="1" x14ac:dyDescent="0.25">
      <c r="A158" s="252"/>
      <c r="B158" s="287"/>
      <c r="C158" s="35" t="s">
        <v>1088</v>
      </c>
      <c r="D158" s="20">
        <f>1</f>
        <v>1</v>
      </c>
      <c r="E158" s="20">
        <f>1</f>
        <v>1</v>
      </c>
      <c r="F158" s="20">
        <f>1</f>
        <v>1</v>
      </c>
      <c r="G158" s="20">
        <f>1</f>
        <v>1</v>
      </c>
      <c r="H158" s="20">
        <f>1</f>
        <v>1</v>
      </c>
      <c r="I158" s="20">
        <f>1</f>
        <v>1</v>
      </c>
      <c r="J158" s="20">
        <f>1</f>
        <v>1</v>
      </c>
      <c r="K158" s="20">
        <f>1</f>
        <v>1</v>
      </c>
      <c r="L158" s="20">
        <f>1</f>
        <v>1</v>
      </c>
      <c r="M158" s="20">
        <f>1</f>
        <v>1</v>
      </c>
      <c r="N158" s="20">
        <f>1</f>
        <v>1</v>
      </c>
      <c r="O158" s="20">
        <f>1</f>
        <v>1</v>
      </c>
      <c r="P158" s="20">
        <f>1</f>
        <v>1</v>
      </c>
      <c r="Q158" s="20">
        <f>1</f>
        <v>1</v>
      </c>
    </row>
    <row r="159" spans="1:17" ht="104.25" customHeight="1" x14ac:dyDescent="0.25">
      <c r="A159" s="252"/>
      <c r="B159" s="287"/>
      <c r="C159" s="35" t="s">
        <v>1089</v>
      </c>
      <c r="D159" s="20">
        <f>1</f>
        <v>1</v>
      </c>
      <c r="E159" s="20">
        <f>1</f>
        <v>1</v>
      </c>
      <c r="F159" s="20">
        <f>1</f>
        <v>1</v>
      </c>
      <c r="G159" s="20">
        <f>1</f>
        <v>1</v>
      </c>
      <c r="H159" s="20">
        <f>1</f>
        <v>1</v>
      </c>
      <c r="I159" s="20">
        <f>1</f>
        <v>1</v>
      </c>
      <c r="J159" s="20">
        <f>1</f>
        <v>1</v>
      </c>
      <c r="K159" s="20">
        <f>1</f>
        <v>1</v>
      </c>
      <c r="L159" s="20">
        <f>1</f>
        <v>1</v>
      </c>
      <c r="M159" s="20">
        <f>1</f>
        <v>1</v>
      </c>
      <c r="N159" s="20">
        <f>1</f>
        <v>1</v>
      </c>
      <c r="O159" s="20">
        <f>1</f>
        <v>1</v>
      </c>
      <c r="P159" s="20">
        <f>1</f>
        <v>1</v>
      </c>
      <c r="Q159" s="20">
        <f>1</f>
        <v>1</v>
      </c>
    </row>
    <row r="160" spans="1:17" ht="135" customHeight="1" x14ac:dyDescent="0.25">
      <c r="A160" s="252"/>
      <c r="B160" s="287"/>
      <c r="C160" s="35" t="s">
        <v>507</v>
      </c>
      <c r="D160" s="20">
        <f>1</f>
        <v>1</v>
      </c>
      <c r="E160" s="20">
        <f>1</f>
        <v>1</v>
      </c>
      <c r="F160" s="20">
        <f>1</f>
        <v>1</v>
      </c>
      <c r="G160" s="20">
        <f>1</f>
        <v>1</v>
      </c>
      <c r="H160" s="20">
        <f>1</f>
        <v>1</v>
      </c>
      <c r="I160" s="20">
        <f>1</f>
        <v>1</v>
      </c>
      <c r="J160" s="20">
        <f>1</f>
        <v>1</v>
      </c>
      <c r="K160" s="20">
        <f>1</f>
        <v>1</v>
      </c>
      <c r="L160" s="20">
        <f>1</f>
        <v>1</v>
      </c>
      <c r="M160" s="20">
        <f>1</f>
        <v>1</v>
      </c>
      <c r="N160" s="20">
        <f>1</f>
        <v>1</v>
      </c>
      <c r="O160" s="20">
        <f>1</f>
        <v>1</v>
      </c>
      <c r="P160" s="20">
        <f>1</f>
        <v>1</v>
      </c>
      <c r="Q160" s="20">
        <f>1</f>
        <v>1</v>
      </c>
    </row>
    <row r="161" spans="1:18" ht="119.25" customHeight="1" x14ac:dyDescent="0.25">
      <c r="A161" s="253"/>
      <c r="B161" s="288"/>
      <c r="C161" s="35" t="s">
        <v>1090</v>
      </c>
      <c r="D161" s="20">
        <f>1</f>
        <v>1</v>
      </c>
      <c r="E161" s="20">
        <f>1</f>
        <v>1</v>
      </c>
      <c r="F161" s="20">
        <f>1</f>
        <v>1</v>
      </c>
      <c r="G161" s="20">
        <f>1</f>
        <v>1</v>
      </c>
      <c r="H161" s="20">
        <f>1</f>
        <v>1</v>
      </c>
      <c r="I161" s="20">
        <f>1</f>
        <v>1</v>
      </c>
      <c r="J161" s="20">
        <f>1</f>
        <v>1</v>
      </c>
      <c r="K161" s="20">
        <f>1</f>
        <v>1</v>
      </c>
      <c r="L161" s="20">
        <f>1</f>
        <v>1</v>
      </c>
      <c r="M161" s="20">
        <f>1</f>
        <v>1</v>
      </c>
      <c r="N161" s="20">
        <f>1</f>
        <v>1</v>
      </c>
      <c r="O161" s="20">
        <f>1</f>
        <v>1</v>
      </c>
      <c r="P161" s="20">
        <f>1</f>
        <v>1</v>
      </c>
      <c r="Q161" s="20">
        <f>1</f>
        <v>1</v>
      </c>
    </row>
    <row r="162" spans="1:18" ht="46.5" customHeight="1" x14ac:dyDescent="0.25">
      <c r="A162" s="251" t="s">
        <v>170</v>
      </c>
      <c r="B162" s="286" t="s">
        <v>98</v>
      </c>
      <c r="C162" s="35" t="s">
        <v>571</v>
      </c>
      <c r="D162" s="20">
        <f>1</f>
        <v>1</v>
      </c>
      <c r="E162" s="20">
        <f>1</f>
        <v>1</v>
      </c>
      <c r="F162" s="20">
        <f>1</f>
        <v>1</v>
      </c>
      <c r="G162" s="20">
        <f>1</f>
        <v>1</v>
      </c>
      <c r="H162" s="20">
        <f>1</f>
        <v>1</v>
      </c>
      <c r="I162" s="20">
        <f>1</f>
        <v>1</v>
      </c>
      <c r="J162" s="20">
        <f>1</f>
        <v>1</v>
      </c>
      <c r="K162" s="20">
        <f>1</f>
        <v>1</v>
      </c>
      <c r="L162" s="20">
        <f>1</f>
        <v>1</v>
      </c>
      <c r="M162" s="20">
        <f>1</f>
        <v>1</v>
      </c>
      <c r="N162" s="20">
        <f>1</f>
        <v>1</v>
      </c>
      <c r="O162" s="20">
        <f>1</f>
        <v>1</v>
      </c>
      <c r="P162" s="20">
        <f>1</f>
        <v>1</v>
      </c>
      <c r="Q162" s="20">
        <f>1</f>
        <v>1</v>
      </c>
    </row>
    <row r="163" spans="1:18" ht="44.25" customHeight="1" x14ac:dyDescent="0.25">
      <c r="A163" s="253"/>
      <c r="B163" s="288"/>
      <c r="C163" s="35" t="s">
        <v>1091</v>
      </c>
      <c r="D163" s="20">
        <f>1</f>
        <v>1</v>
      </c>
      <c r="E163" s="20">
        <f>1</f>
        <v>1</v>
      </c>
      <c r="F163" s="20">
        <f>1</f>
        <v>1</v>
      </c>
      <c r="G163" s="20">
        <f>1</f>
        <v>1</v>
      </c>
      <c r="H163" s="20">
        <f>1</f>
        <v>1</v>
      </c>
      <c r="I163" s="20">
        <f>1</f>
        <v>1</v>
      </c>
      <c r="J163" s="20">
        <f>1</f>
        <v>1</v>
      </c>
      <c r="K163" s="20">
        <f>1</f>
        <v>1</v>
      </c>
      <c r="L163" s="20">
        <f>1</f>
        <v>1</v>
      </c>
      <c r="M163" s="20">
        <f>1</f>
        <v>1</v>
      </c>
      <c r="N163" s="20">
        <f>1</f>
        <v>1</v>
      </c>
      <c r="O163" s="20">
        <f>1</f>
        <v>1</v>
      </c>
      <c r="P163" s="20">
        <f>1</f>
        <v>1</v>
      </c>
      <c r="Q163" s="20">
        <f>1</f>
        <v>1</v>
      </c>
    </row>
    <row r="164" spans="1:18" ht="76.5" customHeight="1" x14ac:dyDescent="0.25">
      <c r="A164" s="286" t="s">
        <v>211</v>
      </c>
      <c r="B164" s="251" t="s">
        <v>127</v>
      </c>
      <c r="C164" s="14" t="s">
        <v>511</v>
      </c>
      <c r="D164" s="20">
        <f>1</f>
        <v>1</v>
      </c>
      <c r="E164" s="20">
        <f>1</f>
        <v>1</v>
      </c>
      <c r="F164" s="20">
        <f>1</f>
        <v>1</v>
      </c>
      <c r="G164" s="20">
        <f>1</f>
        <v>1</v>
      </c>
      <c r="H164" s="20">
        <f>1</f>
        <v>1</v>
      </c>
      <c r="I164" s="20">
        <f>1</f>
        <v>1</v>
      </c>
      <c r="J164" s="20">
        <f>1</f>
        <v>1</v>
      </c>
      <c r="K164" s="20">
        <f>1</f>
        <v>1</v>
      </c>
      <c r="L164" s="20">
        <f>1</f>
        <v>1</v>
      </c>
      <c r="M164" s="20">
        <f>1</f>
        <v>1</v>
      </c>
      <c r="N164" s="20">
        <f>1</f>
        <v>1</v>
      </c>
      <c r="O164" s="20">
        <f>1</f>
        <v>1</v>
      </c>
      <c r="P164" s="20">
        <f>1</f>
        <v>1</v>
      </c>
      <c r="Q164" s="20">
        <f>1</f>
        <v>1</v>
      </c>
    </row>
    <row r="165" spans="1:18" ht="69" customHeight="1" x14ac:dyDescent="0.25">
      <c r="A165" s="288"/>
      <c r="B165" s="253"/>
      <c r="C165" s="14" t="s">
        <v>510</v>
      </c>
      <c r="D165" s="20">
        <f>1</f>
        <v>1</v>
      </c>
      <c r="E165" s="20">
        <f>1</f>
        <v>1</v>
      </c>
      <c r="F165" s="20">
        <f>1</f>
        <v>1</v>
      </c>
      <c r="G165" s="20">
        <f>1</f>
        <v>1</v>
      </c>
      <c r="H165" s="20">
        <f>1</f>
        <v>1</v>
      </c>
      <c r="I165" s="20">
        <f>1</f>
        <v>1</v>
      </c>
      <c r="J165" s="20">
        <f>1</f>
        <v>1</v>
      </c>
      <c r="K165" s="20">
        <f>1</f>
        <v>1</v>
      </c>
      <c r="L165" s="20">
        <f>1</f>
        <v>1</v>
      </c>
      <c r="M165" s="20">
        <f>1</f>
        <v>1</v>
      </c>
      <c r="N165" s="20">
        <f>1</f>
        <v>1</v>
      </c>
      <c r="O165" s="20">
        <f>1</f>
        <v>1</v>
      </c>
      <c r="P165" s="20">
        <f>1</f>
        <v>1</v>
      </c>
      <c r="Q165" s="20">
        <f>1</f>
        <v>1</v>
      </c>
    </row>
    <row r="166" spans="1:18" ht="94.5" customHeight="1" x14ac:dyDescent="0.25">
      <c r="A166" s="251" t="s">
        <v>99</v>
      </c>
      <c r="B166" s="286" t="s">
        <v>128</v>
      </c>
      <c r="C166" s="14" t="s">
        <v>512</v>
      </c>
      <c r="D166" s="20">
        <f>1</f>
        <v>1</v>
      </c>
      <c r="E166" s="20">
        <f>1</f>
        <v>1</v>
      </c>
      <c r="F166" s="20">
        <f>1</f>
        <v>1</v>
      </c>
      <c r="G166" s="20">
        <f>1</f>
        <v>1</v>
      </c>
      <c r="H166" s="20">
        <f>1</f>
        <v>1</v>
      </c>
      <c r="I166" s="20">
        <f>1</f>
        <v>1</v>
      </c>
      <c r="J166" s="20">
        <f>1</f>
        <v>1</v>
      </c>
      <c r="K166" s="20">
        <f>1</f>
        <v>1</v>
      </c>
      <c r="L166" s="20">
        <f>1</f>
        <v>1</v>
      </c>
      <c r="M166" s="20">
        <f>1</f>
        <v>1</v>
      </c>
      <c r="N166" s="20">
        <f>1</f>
        <v>1</v>
      </c>
      <c r="O166" s="20">
        <f>1</f>
        <v>1</v>
      </c>
      <c r="P166" s="20">
        <f>1</f>
        <v>1</v>
      </c>
      <c r="Q166" s="20">
        <f>1</f>
        <v>1</v>
      </c>
    </row>
    <row r="167" spans="1:18" ht="73.5" customHeight="1" x14ac:dyDescent="0.25">
      <c r="A167" s="252"/>
      <c r="B167" s="287"/>
      <c r="C167" s="14" t="s">
        <v>513</v>
      </c>
      <c r="D167" s="20">
        <f>1</f>
        <v>1</v>
      </c>
      <c r="E167" s="20">
        <f>1</f>
        <v>1</v>
      </c>
      <c r="F167" s="20">
        <f>1</f>
        <v>1</v>
      </c>
      <c r="G167" s="20">
        <f>1</f>
        <v>1</v>
      </c>
      <c r="H167" s="20">
        <f>1</f>
        <v>1</v>
      </c>
      <c r="I167" s="20">
        <f>1</f>
        <v>1</v>
      </c>
      <c r="J167" s="20">
        <f>1</f>
        <v>1</v>
      </c>
      <c r="K167" s="20">
        <f>1</f>
        <v>1</v>
      </c>
      <c r="L167" s="20">
        <f>1</f>
        <v>1</v>
      </c>
      <c r="M167" s="20">
        <f>1</f>
        <v>1</v>
      </c>
      <c r="N167" s="20">
        <f>1</f>
        <v>1</v>
      </c>
      <c r="O167" s="20">
        <f>1</f>
        <v>1</v>
      </c>
      <c r="P167" s="20">
        <f>1</f>
        <v>1</v>
      </c>
      <c r="Q167" s="20">
        <f>1</f>
        <v>1</v>
      </c>
    </row>
    <row r="168" spans="1:18" ht="78.75" customHeight="1" x14ac:dyDescent="0.25">
      <c r="A168" s="252"/>
      <c r="B168" s="287"/>
      <c r="C168" s="14" t="s">
        <v>514</v>
      </c>
      <c r="D168" s="20">
        <f>1</f>
        <v>1</v>
      </c>
      <c r="E168" s="20">
        <f>1</f>
        <v>1</v>
      </c>
      <c r="F168" s="20">
        <f>1</f>
        <v>1</v>
      </c>
      <c r="G168" s="20">
        <f>1</f>
        <v>1</v>
      </c>
      <c r="H168" s="20">
        <f>1</f>
        <v>1</v>
      </c>
      <c r="I168" s="20">
        <f>1</f>
        <v>1</v>
      </c>
      <c r="J168" s="20">
        <f>1</f>
        <v>1</v>
      </c>
      <c r="K168" s="20">
        <f>1</f>
        <v>1</v>
      </c>
      <c r="L168" s="20">
        <f>1</f>
        <v>1</v>
      </c>
      <c r="M168" s="20">
        <f>1</f>
        <v>1</v>
      </c>
      <c r="N168" s="20">
        <f>1</f>
        <v>1</v>
      </c>
      <c r="O168" s="20">
        <f>1</f>
        <v>1</v>
      </c>
      <c r="P168" s="20">
        <f>1</f>
        <v>1</v>
      </c>
      <c r="Q168" s="20">
        <f>1</f>
        <v>1</v>
      </c>
    </row>
    <row r="169" spans="1:18" ht="64.5" customHeight="1" x14ac:dyDescent="0.25">
      <c r="A169" s="252"/>
      <c r="B169" s="287"/>
      <c r="C169" s="14" t="s">
        <v>515</v>
      </c>
      <c r="D169" s="20">
        <f>1</f>
        <v>1</v>
      </c>
      <c r="E169" s="20">
        <f>1</f>
        <v>1</v>
      </c>
      <c r="F169" s="20">
        <f>1</f>
        <v>1</v>
      </c>
      <c r="G169" s="20">
        <f>1</f>
        <v>1</v>
      </c>
      <c r="H169" s="20">
        <f>1</f>
        <v>1</v>
      </c>
      <c r="I169" s="20">
        <f>1</f>
        <v>1</v>
      </c>
      <c r="J169" s="20">
        <f>1</f>
        <v>1</v>
      </c>
      <c r="K169" s="20">
        <f>1</f>
        <v>1</v>
      </c>
      <c r="L169" s="20">
        <f>1</f>
        <v>1</v>
      </c>
      <c r="M169" s="20">
        <f>1</f>
        <v>1</v>
      </c>
      <c r="N169" s="20">
        <f>1</f>
        <v>1</v>
      </c>
      <c r="O169" s="20">
        <f>1</f>
        <v>1</v>
      </c>
      <c r="P169" s="20">
        <f>1</f>
        <v>1</v>
      </c>
      <c r="Q169" s="20">
        <f>1</f>
        <v>1</v>
      </c>
    </row>
    <row r="170" spans="1:18" ht="92.25" customHeight="1" x14ac:dyDescent="0.25">
      <c r="A170" s="253"/>
      <c r="B170" s="288"/>
      <c r="C170" s="14" t="s">
        <v>1092</v>
      </c>
      <c r="D170" s="20">
        <f>1</f>
        <v>1</v>
      </c>
      <c r="E170" s="20">
        <f>1</f>
        <v>1</v>
      </c>
      <c r="F170" s="20">
        <f>1</f>
        <v>1</v>
      </c>
      <c r="G170" s="20">
        <f>1</f>
        <v>1</v>
      </c>
      <c r="H170" s="20">
        <f>1</f>
        <v>1</v>
      </c>
      <c r="I170" s="20">
        <f>1</f>
        <v>1</v>
      </c>
      <c r="J170" s="20">
        <f>1</f>
        <v>1</v>
      </c>
      <c r="K170" s="20">
        <f>1</f>
        <v>1</v>
      </c>
      <c r="L170" s="20">
        <f>1</f>
        <v>1</v>
      </c>
      <c r="M170" s="20">
        <f>1</f>
        <v>1</v>
      </c>
      <c r="N170" s="20">
        <f>1</f>
        <v>1</v>
      </c>
      <c r="O170" s="20">
        <f>1</f>
        <v>1</v>
      </c>
      <c r="P170" s="20">
        <f>1</f>
        <v>1</v>
      </c>
      <c r="Q170" s="20">
        <f>1</f>
        <v>1</v>
      </c>
    </row>
    <row r="171" spans="1:18" ht="63.75" customHeight="1" x14ac:dyDescent="0.25">
      <c r="A171" s="251" t="s">
        <v>482</v>
      </c>
      <c r="B171" s="251" t="s">
        <v>483</v>
      </c>
      <c r="C171" s="14" t="s">
        <v>1093</v>
      </c>
      <c r="D171" s="20">
        <f>1</f>
        <v>1</v>
      </c>
      <c r="E171" s="20">
        <f>1</f>
        <v>1</v>
      </c>
      <c r="F171" s="20">
        <f>1</f>
        <v>1</v>
      </c>
      <c r="G171" s="20">
        <f>1</f>
        <v>1</v>
      </c>
      <c r="H171" s="20">
        <f>1</f>
        <v>1</v>
      </c>
      <c r="I171" s="20">
        <f>1</f>
        <v>1</v>
      </c>
      <c r="J171" s="20">
        <f>1</f>
        <v>1</v>
      </c>
      <c r="K171" s="20">
        <f>1</f>
        <v>1</v>
      </c>
      <c r="L171" s="20">
        <f>1</f>
        <v>1</v>
      </c>
      <c r="M171" s="20">
        <f>1</f>
        <v>1</v>
      </c>
      <c r="N171" s="20">
        <f>1</f>
        <v>1</v>
      </c>
      <c r="O171" s="20">
        <f>1</f>
        <v>1</v>
      </c>
      <c r="P171" s="20">
        <f>1</f>
        <v>1</v>
      </c>
      <c r="Q171" s="20">
        <f>1</f>
        <v>1</v>
      </c>
      <c r="R171" s="202"/>
    </row>
    <row r="172" spans="1:18" ht="75.75" customHeight="1" x14ac:dyDescent="0.25">
      <c r="A172" s="252"/>
      <c r="B172" s="252"/>
      <c r="C172" s="14" t="s">
        <v>1094</v>
      </c>
      <c r="D172" s="20">
        <f>1</f>
        <v>1</v>
      </c>
      <c r="E172" s="20">
        <f>1</f>
        <v>1</v>
      </c>
      <c r="F172" s="20">
        <f>1</f>
        <v>1</v>
      </c>
      <c r="G172" s="20">
        <f>1</f>
        <v>1</v>
      </c>
      <c r="H172" s="20">
        <f>1</f>
        <v>1</v>
      </c>
      <c r="I172" s="20">
        <f>1</f>
        <v>1</v>
      </c>
      <c r="J172" s="20">
        <f>1</f>
        <v>1</v>
      </c>
      <c r="K172" s="20">
        <f>1</f>
        <v>1</v>
      </c>
      <c r="L172" s="20">
        <f>1</f>
        <v>1</v>
      </c>
      <c r="M172" s="20">
        <f>1</f>
        <v>1</v>
      </c>
      <c r="N172" s="20">
        <f>1</f>
        <v>1</v>
      </c>
      <c r="O172" s="20">
        <f>1</f>
        <v>1</v>
      </c>
      <c r="P172" s="20">
        <f>1</f>
        <v>1</v>
      </c>
      <c r="Q172" s="20">
        <f>1</f>
        <v>1</v>
      </c>
      <c r="R172" s="202"/>
    </row>
    <row r="173" spans="1:18" ht="61.5" customHeight="1" x14ac:dyDescent="0.25">
      <c r="A173" s="252"/>
      <c r="B173" s="252"/>
      <c r="C173" s="14" t="s">
        <v>516</v>
      </c>
      <c r="D173" s="20">
        <f>1</f>
        <v>1</v>
      </c>
      <c r="E173" s="20">
        <f>1</f>
        <v>1</v>
      </c>
      <c r="F173" s="20">
        <f>1</f>
        <v>1</v>
      </c>
      <c r="G173" s="20">
        <f>1</f>
        <v>1</v>
      </c>
      <c r="H173" s="20">
        <f>1</f>
        <v>1</v>
      </c>
      <c r="I173" s="20">
        <f>1</f>
        <v>1</v>
      </c>
      <c r="J173" s="20">
        <f>1</f>
        <v>1</v>
      </c>
      <c r="K173" s="20">
        <f>1</f>
        <v>1</v>
      </c>
      <c r="L173" s="20">
        <f>1</f>
        <v>1</v>
      </c>
      <c r="M173" s="20">
        <f>1</f>
        <v>1</v>
      </c>
      <c r="N173" s="20">
        <f>1</f>
        <v>1</v>
      </c>
      <c r="O173" s="20">
        <f>1</f>
        <v>1</v>
      </c>
      <c r="P173" s="20">
        <f>1</f>
        <v>1</v>
      </c>
      <c r="Q173" s="20">
        <f>1</f>
        <v>1</v>
      </c>
      <c r="R173" s="202"/>
    </row>
    <row r="174" spans="1:18" ht="93.75" customHeight="1" x14ac:dyDescent="0.25">
      <c r="A174" s="252"/>
      <c r="B174" s="252"/>
      <c r="C174" s="14" t="s">
        <v>517</v>
      </c>
      <c r="D174" s="20">
        <f>1</f>
        <v>1</v>
      </c>
      <c r="E174" s="20">
        <f>1</f>
        <v>1</v>
      </c>
      <c r="F174" s="20">
        <f>1</f>
        <v>1</v>
      </c>
      <c r="G174" s="20">
        <f>1</f>
        <v>1</v>
      </c>
      <c r="H174" s="20">
        <f>1</f>
        <v>1</v>
      </c>
      <c r="I174" s="20">
        <f>1</f>
        <v>1</v>
      </c>
      <c r="J174" s="20">
        <f>1</f>
        <v>1</v>
      </c>
      <c r="K174" s="20">
        <f>1</f>
        <v>1</v>
      </c>
      <c r="L174" s="20">
        <f>1</f>
        <v>1</v>
      </c>
      <c r="M174" s="20">
        <f>1</f>
        <v>1</v>
      </c>
      <c r="N174" s="20">
        <f>1</f>
        <v>1</v>
      </c>
      <c r="O174" s="20">
        <f>1</f>
        <v>1</v>
      </c>
      <c r="P174" s="20">
        <f>1</f>
        <v>1</v>
      </c>
      <c r="Q174" s="20">
        <f>1</f>
        <v>1</v>
      </c>
      <c r="R174" s="202"/>
    </row>
    <row r="175" spans="1:18" ht="33" customHeight="1" x14ac:dyDescent="0.25">
      <c r="A175" s="252"/>
      <c r="B175" s="252"/>
      <c r="C175" s="14" t="s">
        <v>518</v>
      </c>
      <c r="D175" s="20">
        <f>1</f>
        <v>1</v>
      </c>
      <c r="E175" s="20">
        <f>1</f>
        <v>1</v>
      </c>
      <c r="F175" s="20">
        <f>1</f>
        <v>1</v>
      </c>
      <c r="G175" s="20">
        <f>1</f>
        <v>1</v>
      </c>
      <c r="H175" s="20">
        <f>1</f>
        <v>1</v>
      </c>
      <c r="I175" s="20">
        <f>1</f>
        <v>1</v>
      </c>
      <c r="J175" s="20">
        <f>1</f>
        <v>1</v>
      </c>
      <c r="K175" s="20">
        <f>1</f>
        <v>1</v>
      </c>
      <c r="L175" s="20">
        <f>1</f>
        <v>1</v>
      </c>
      <c r="M175" s="20">
        <f>1</f>
        <v>1</v>
      </c>
      <c r="N175" s="20">
        <f>1</f>
        <v>1</v>
      </c>
      <c r="O175" s="20">
        <f>1</f>
        <v>1</v>
      </c>
      <c r="P175" s="20">
        <f>1</f>
        <v>1</v>
      </c>
      <c r="Q175" s="20">
        <f>1</f>
        <v>1</v>
      </c>
      <c r="R175" s="202"/>
    </row>
    <row r="176" spans="1:18" ht="60" customHeight="1" x14ac:dyDescent="0.25">
      <c r="A176" s="252"/>
      <c r="B176" s="252"/>
      <c r="C176" s="14" t="s">
        <v>519</v>
      </c>
      <c r="D176" s="20">
        <f>1</f>
        <v>1</v>
      </c>
      <c r="E176" s="20">
        <f>1</f>
        <v>1</v>
      </c>
      <c r="F176" s="20">
        <f>1</f>
        <v>1</v>
      </c>
      <c r="G176" s="20">
        <f>1</f>
        <v>1</v>
      </c>
      <c r="H176" s="20">
        <f>1</f>
        <v>1</v>
      </c>
      <c r="I176" s="20">
        <f>1</f>
        <v>1</v>
      </c>
      <c r="J176" s="20">
        <f>1</f>
        <v>1</v>
      </c>
      <c r="K176" s="20">
        <f>1</f>
        <v>1</v>
      </c>
      <c r="L176" s="20">
        <f>1</f>
        <v>1</v>
      </c>
      <c r="M176" s="20">
        <f>1</f>
        <v>1</v>
      </c>
      <c r="N176" s="20">
        <f>1</f>
        <v>1</v>
      </c>
      <c r="O176" s="20">
        <f>1</f>
        <v>1</v>
      </c>
      <c r="P176" s="20">
        <f>1</f>
        <v>1</v>
      </c>
      <c r="Q176" s="20">
        <f>1</f>
        <v>1</v>
      </c>
      <c r="R176" s="202"/>
    </row>
    <row r="177" spans="1:18" ht="35.25" customHeight="1" x14ac:dyDescent="0.25">
      <c r="A177" s="252"/>
      <c r="B177" s="252"/>
      <c r="C177" s="14" t="s">
        <v>518</v>
      </c>
      <c r="D177" s="20">
        <f>1</f>
        <v>1</v>
      </c>
      <c r="E177" s="20">
        <f>1</f>
        <v>1</v>
      </c>
      <c r="F177" s="20">
        <f>1</f>
        <v>1</v>
      </c>
      <c r="G177" s="20">
        <f>1</f>
        <v>1</v>
      </c>
      <c r="H177" s="20">
        <f>1</f>
        <v>1</v>
      </c>
      <c r="I177" s="20">
        <f>1</f>
        <v>1</v>
      </c>
      <c r="J177" s="20">
        <f>1</f>
        <v>1</v>
      </c>
      <c r="K177" s="20">
        <f>1</f>
        <v>1</v>
      </c>
      <c r="L177" s="20">
        <f>1</f>
        <v>1</v>
      </c>
      <c r="M177" s="20">
        <f>1</f>
        <v>1</v>
      </c>
      <c r="N177" s="20">
        <f>1</f>
        <v>1</v>
      </c>
      <c r="O177" s="20">
        <f>1</f>
        <v>1</v>
      </c>
      <c r="P177" s="20">
        <f>1</f>
        <v>1</v>
      </c>
      <c r="Q177" s="20">
        <f>1</f>
        <v>1</v>
      </c>
      <c r="R177" s="202"/>
    </row>
    <row r="178" spans="1:18" ht="61.5" customHeight="1" x14ac:dyDescent="0.25">
      <c r="A178" s="252"/>
      <c r="B178" s="252"/>
      <c r="C178" s="14" t="s">
        <v>521</v>
      </c>
      <c r="D178" s="20">
        <f>1</f>
        <v>1</v>
      </c>
      <c r="E178" s="20">
        <f>1</f>
        <v>1</v>
      </c>
      <c r="F178" s="20">
        <f>1</f>
        <v>1</v>
      </c>
      <c r="G178" s="20">
        <f>1</f>
        <v>1</v>
      </c>
      <c r="H178" s="20">
        <f>1</f>
        <v>1</v>
      </c>
      <c r="I178" s="20">
        <f>1</f>
        <v>1</v>
      </c>
      <c r="J178" s="20">
        <f>1</f>
        <v>1</v>
      </c>
      <c r="K178" s="20">
        <f>1</f>
        <v>1</v>
      </c>
      <c r="L178" s="20">
        <f>1</f>
        <v>1</v>
      </c>
      <c r="M178" s="20">
        <f>1</f>
        <v>1</v>
      </c>
      <c r="N178" s="20">
        <f>1</f>
        <v>1</v>
      </c>
      <c r="O178" s="20">
        <f>1</f>
        <v>1</v>
      </c>
      <c r="P178" s="20">
        <f>1</f>
        <v>1</v>
      </c>
      <c r="Q178" s="20">
        <f>1</f>
        <v>1</v>
      </c>
      <c r="R178" s="202"/>
    </row>
    <row r="179" spans="1:18" ht="75" customHeight="1" x14ac:dyDescent="0.25">
      <c r="A179" s="253"/>
      <c r="B179" s="253"/>
      <c r="C179" s="14" t="s">
        <v>520</v>
      </c>
      <c r="D179" s="20">
        <f>1</f>
        <v>1</v>
      </c>
      <c r="E179" s="20">
        <f>1</f>
        <v>1</v>
      </c>
      <c r="F179" s="20">
        <f>1</f>
        <v>1</v>
      </c>
      <c r="G179" s="20">
        <f>1</f>
        <v>1</v>
      </c>
      <c r="H179" s="20">
        <f>1</f>
        <v>1</v>
      </c>
      <c r="I179" s="20">
        <f>1</f>
        <v>1</v>
      </c>
      <c r="J179" s="20">
        <f>1</f>
        <v>1</v>
      </c>
      <c r="K179" s="20">
        <f>1</f>
        <v>1</v>
      </c>
      <c r="L179" s="20">
        <f>1</f>
        <v>1</v>
      </c>
      <c r="M179" s="20">
        <f>1</f>
        <v>1</v>
      </c>
      <c r="N179" s="20">
        <f>1</f>
        <v>1</v>
      </c>
      <c r="O179" s="20">
        <f>1</f>
        <v>1</v>
      </c>
      <c r="P179" s="20">
        <f>1</f>
        <v>1</v>
      </c>
      <c r="Q179" s="20">
        <f>1</f>
        <v>1</v>
      </c>
      <c r="R179" s="202"/>
    </row>
    <row r="180" spans="1:18" ht="18" customHeight="1" x14ac:dyDescent="0.25">
      <c r="A180" s="58" t="s">
        <v>13</v>
      </c>
      <c r="B180" s="249" t="s">
        <v>14</v>
      </c>
      <c r="C180" s="250"/>
      <c r="D180" s="20"/>
      <c r="E180" s="20"/>
      <c r="F180" s="20"/>
      <c r="G180" s="45"/>
      <c r="H180" s="45"/>
      <c r="I180" s="45"/>
      <c r="J180" s="20"/>
      <c r="K180" s="20"/>
      <c r="L180" s="20"/>
      <c r="M180" s="20"/>
      <c r="N180" s="20"/>
      <c r="O180" s="20"/>
      <c r="P180" s="20"/>
      <c r="Q180" s="20"/>
    </row>
    <row r="181" spans="1:18" ht="17.25" customHeight="1" x14ac:dyDescent="0.25">
      <c r="A181" s="58" t="s">
        <v>522</v>
      </c>
      <c r="B181" s="36" t="s">
        <v>523</v>
      </c>
      <c r="C181" s="203" t="s">
        <v>282</v>
      </c>
      <c r="D181" s="20">
        <f>2</f>
        <v>2</v>
      </c>
      <c r="E181" s="20">
        <f>2</f>
        <v>2</v>
      </c>
      <c r="F181" s="20">
        <f>2</f>
        <v>2</v>
      </c>
      <c r="G181" s="20">
        <f>2</f>
        <v>2</v>
      </c>
      <c r="H181" s="20">
        <f>2</f>
        <v>2</v>
      </c>
      <c r="I181" s="20">
        <f>2+1</f>
        <v>3</v>
      </c>
      <c r="J181" s="20">
        <f>2</f>
        <v>2</v>
      </c>
      <c r="K181" s="20">
        <f>2+1</f>
        <v>3</v>
      </c>
      <c r="L181" s="20">
        <f>2+1</f>
        <v>3</v>
      </c>
      <c r="M181" s="20">
        <f>2</f>
        <v>2</v>
      </c>
      <c r="N181" s="20">
        <f>2</f>
        <v>2</v>
      </c>
      <c r="O181" s="20">
        <f>2</f>
        <v>2</v>
      </c>
      <c r="P181" s="20">
        <f>2+1</f>
        <v>3</v>
      </c>
      <c r="Q181" s="20">
        <f>2+1</f>
        <v>3</v>
      </c>
    </row>
    <row r="182" spans="1:18" ht="20.25" customHeight="1" x14ac:dyDescent="0.25">
      <c r="A182" s="58" t="s">
        <v>524</v>
      </c>
      <c r="B182" s="36" t="s">
        <v>525</v>
      </c>
      <c r="C182" s="203" t="s">
        <v>282</v>
      </c>
      <c r="D182" s="20">
        <f>1</f>
        <v>1</v>
      </c>
      <c r="E182" s="20">
        <f>1</f>
        <v>1</v>
      </c>
      <c r="F182" s="20">
        <f>1</f>
        <v>1</v>
      </c>
      <c r="G182" s="20">
        <f>1</f>
        <v>1</v>
      </c>
      <c r="H182" s="20">
        <f>1+1</f>
        <v>2</v>
      </c>
      <c r="I182" s="20">
        <f>1+1</f>
        <v>2</v>
      </c>
      <c r="J182" s="20">
        <f>1</f>
        <v>1</v>
      </c>
      <c r="K182" s="20">
        <f>1</f>
        <v>1</v>
      </c>
      <c r="L182" s="20">
        <f>1</f>
        <v>1</v>
      </c>
      <c r="M182" s="20">
        <f>1</f>
        <v>1</v>
      </c>
      <c r="N182" s="20">
        <f>1+1</f>
        <v>2</v>
      </c>
      <c r="O182" s="20">
        <f t="shared" ref="O182:Q182" si="32">1+1</f>
        <v>2</v>
      </c>
      <c r="P182" s="20">
        <f t="shared" si="32"/>
        <v>2</v>
      </c>
      <c r="Q182" s="20">
        <f t="shared" si="32"/>
        <v>2</v>
      </c>
    </row>
    <row r="183" spans="1:18" ht="17.25" customHeight="1" x14ac:dyDescent="0.25">
      <c r="A183" s="58" t="s">
        <v>365</v>
      </c>
      <c r="B183" s="36" t="s">
        <v>366</v>
      </c>
      <c r="C183" s="203" t="s">
        <v>282</v>
      </c>
      <c r="D183" s="20">
        <f>2+1</f>
        <v>3</v>
      </c>
      <c r="E183" s="20">
        <f t="shared" ref="E183:Q184" si="33">2+1</f>
        <v>3</v>
      </c>
      <c r="F183" s="20">
        <f t="shared" si="33"/>
        <v>3</v>
      </c>
      <c r="G183" s="20">
        <f>2+1+1</f>
        <v>4</v>
      </c>
      <c r="H183" s="20">
        <f>2+1+1</f>
        <v>4</v>
      </c>
      <c r="I183" s="20">
        <f t="shared" si="33"/>
        <v>3</v>
      </c>
      <c r="J183" s="20">
        <f t="shared" si="33"/>
        <v>3</v>
      </c>
      <c r="K183" s="20">
        <f t="shared" si="33"/>
        <v>3</v>
      </c>
      <c r="L183" s="20">
        <f t="shared" si="33"/>
        <v>3</v>
      </c>
      <c r="M183" s="20">
        <f t="shared" si="33"/>
        <v>3</v>
      </c>
      <c r="N183" s="20">
        <f t="shared" si="33"/>
        <v>3</v>
      </c>
      <c r="O183" s="20">
        <f>2+1+1</f>
        <v>4</v>
      </c>
      <c r="P183" s="20">
        <f t="shared" ref="P183:Q183" si="34">2+1+1</f>
        <v>4</v>
      </c>
      <c r="Q183" s="20">
        <f t="shared" si="34"/>
        <v>4</v>
      </c>
    </row>
    <row r="184" spans="1:18" ht="18" customHeight="1" x14ac:dyDescent="0.25">
      <c r="A184" s="14" t="s">
        <v>271</v>
      </c>
      <c r="B184" s="37" t="s">
        <v>272</v>
      </c>
      <c r="C184" s="203" t="s">
        <v>282</v>
      </c>
      <c r="D184" s="20">
        <f>2+1</f>
        <v>3</v>
      </c>
      <c r="E184" s="20">
        <f t="shared" si="33"/>
        <v>3</v>
      </c>
      <c r="F184" s="20">
        <f t="shared" si="33"/>
        <v>3</v>
      </c>
      <c r="G184" s="20">
        <f t="shared" si="33"/>
        <v>3</v>
      </c>
      <c r="H184" s="20">
        <f t="shared" si="33"/>
        <v>3</v>
      </c>
      <c r="I184" s="20">
        <f t="shared" si="33"/>
        <v>3</v>
      </c>
      <c r="J184" s="20">
        <f t="shared" si="33"/>
        <v>3</v>
      </c>
      <c r="K184" s="20">
        <f t="shared" si="33"/>
        <v>3</v>
      </c>
      <c r="L184" s="20">
        <f t="shared" si="33"/>
        <v>3</v>
      </c>
      <c r="M184" s="20">
        <f t="shared" si="33"/>
        <v>3</v>
      </c>
      <c r="N184" s="20">
        <f t="shared" si="33"/>
        <v>3</v>
      </c>
      <c r="O184" s="20">
        <f t="shared" si="33"/>
        <v>3</v>
      </c>
      <c r="P184" s="20">
        <f t="shared" si="33"/>
        <v>3</v>
      </c>
      <c r="Q184" s="20">
        <f t="shared" si="33"/>
        <v>3</v>
      </c>
    </row>
    <row r="185" spans="1:18" ht="18" customHeight="1" x14ac:dyDescent="0.25">
      <c r="A185" s="54" t="s">
        <v>526</v>
      </c>
      <c r="B185" s="38" t="s">
        <v>527</v>
      </c>
      <c r="C185" s="203" t="s">
        <v>282</v>
      </c>
      <c r="D185" s="20">
        <f>2</f>
        <v>2</v>
      </c>
      <c r="E185" s="20">
        <f>2</f>
        <v>2</v>
      </c>
      <c r="F185" s="20">
        <f>2</f>
        <v>2</v>
      </c>
      <c r="G185" s="20">
        <f>2</f>
        <v>2</v>
      </c>
      <c r="H185" s="20">
        <f>2</f>
        <v>2</v>
      </c>
      <c r="I185" s="20">
        <f>2</f>
        <v>2</v>
      </c>
      <c r="J185" s="20">
        <f>2</f>
        <v>2</v>
      </c>
      <c r="K185" s="20">
        <f>2</f>
        <v>2</v>
      </c>
      <c r="L185" s="20">
        <f>2</f>
        <v>2</v>
      </c>
      <c r="M185" s="20">
        <f>2</f>
        <v>2</v>
      </c>
      <c r="N185" s="20">
        <f>2</f>
        <v>2</v>
      </c>
      <c r="O185" s="20">
        <f>2</f>
        <v>2</v>
      </c>
      <c r="P185" s="20">
        <f>2</f>
        <v>2</v>
      </c>
      <c r="Q185" s="20">
        <f>2</f>
        <v>2</v>
      </c>
    </row>
    <row r="186" spans="1:18" s="69" customFormat="1" ht="18" customHeight="1" x14ac:dyDescent="0.25">
      <c r="A186" s="264" t="s">
        <v>1196</v>
      </c>
      <c r="B186" s="265"/>
      <c r="C186" s="204"/>
      <c r="D186" s="64">
        <f>SUM(D136:D185)</f>
        <v>65</v>
      </c>
      <c r="E186" s="64">
        <f t="shared" ref="E186:Q186" si="35">SUM(E136:E185)</f>
        <v>119</v>
      </c>
      <c r="F186" s="64">
        <f t="shared" si="35"/>
        <v>119</v>
      </c>
      <c r="G186" s="64">
        <f t="shared" si="35"/>
        <v>121</v>
      </c>
      <c r="H186" s="64">
        <f t="shared" si="35"/>
        <v>122</v>
      </c>
      <c r="I186" s="64">
        <f t="shared" si="35"/>
        <v>123</v>
      </c>
      <c r="J186" s="64">
        <f t="shared" si="35"/>
        <v>119</v>
      </c>
      <c r="K186" s="64">
        <f t="shared" si="35"/>
        <v>121</v>
      </c>
      <c r="L186" s="64">
        <f t="shared" si="35"/>
        <v>120</v>
      </c>
      <c r="M186" s="64">
        <f t="shared" si="35"/>
        <v>120</v>
      </c>
      <c r="N186" s="64">
        <f t="shared" si="35"/>
        <v>120</v>
      </c>
      <c r="O186" s="64">
        <f t="shared" si="35"/>
        <v>122</v>
      </c>
      <c r="P186" s="64">
        <f t="shared" si="35"/>
        <v>122</v>
      </c>
      <c r="Q186" s="64">
        <f t="shared" si="35"/>
        <v>122</v>
      </c>
    </row>
    <row r="187" spans="1:18" s="208" customFormat="1" ht="20.25" customHeight="1" x14ac:dyDescent="0.25">
      <c r="A187" s="273" t="s">
        <v>1197</v>
      </c>
      <c r="B187" s="274"/>
      <c r="C187" s="248"/>
      <c r="D187" s="182">
        <f>D186+D134+D118+D110+D93+D81+D26</f>
        <v>2190</v>
      </c>
      <c r="E187" s="182">
        <f t="shared" ref="E187:Q187" si="36">E186+E134+E118+E110+E93+E81+E26</f>
        <v>2389</v>
      </c>
      <c r="F187" s="182">
        <f t="shared" si="36"/>
        <v>2480</v>
      </c>
      <c r="G187" s="182">
        <f t="shared" si="36"/>
        <v>2544</v>
      </c>
      <c r="H187" s="182">
        <f t="shared" si="36"/>
        <v>2628</v>
      </c>
      <c r="I187" s="182">
        <f t="shared" si="36"/>
        <v>2707</v>
      </c>
      <c r="J187" s="182">
        <f t="shared" si="36"/>
        <v>2686</v>
      </c>
      <c r="K187" s="182">
        <f t="shared" si="36"/>
        <v>2762</v>
      </c>
      <c r="L187" s="182">
        <f t="shared" si="36"/>
        <v>2861</v>
      </c>
      <c r="M187" s="182">
        <f t="shared" si="36"/>
        <v>2880</v>
      </c>
      <c r="N187" s="182">
        <f t="shared" si="36"/>
        <v>2951</v>
      </c>
      <c r="O187" s="182">
        <f t="shared" si="36"/>
        <v>3034</v>
      </c>
      <c r="P187" s="182">
        <f t="shared" si="36"/>
        <v>3092</v>
      </c>
      <c r="Q187" s="182">
        <f t="shared" si="36"/>
        <v>3167</v>
      </c>
    </row>
    <row r="188" spans="1:18" x14ac:dyDescent="0.25">
      <c r="A188" s="264" t="s">
        <v>117</v>
      </c>
      <c r="B188" s="307"/>
      <c r="C188" s="265"/>
      <c r="D188" s="20"/>
      <c r="E188" s="20"/>
      <c r="F188" s="20"/>
      <c r="G188" s="45"/>
      <c r="H188" s="45"/>
      <c r="I188" s="45"/>
      <c r="J188" s="20"/>
      <c r="K188" s="20"/>
      <c r="L188" s="20"/>
      <c r="M188" s="20"/>
      <c r="N188" s="20"/>
      <c r="O188" s="20"/>
      <c r="P188" s="20"/>
      <c r="Q188" s="20"/>
    </row>
    <row r="189" spans="1:18" x14ac:dyDescent="0.25">
      <c r="A189" s="257" t="s">
        <v>317</v>
      </c>
      <c r="B189" s="258"/>
      <c r="C189" s="259"/>
      <c r="D189" s="20"/>
      <c r="E189" s="20"/>
      <c r="F189" s="20"/>
      <c r="G189" s="45"/>
      <c r="H189" s="45"/>
      <c r="I189" s="45"/>
      <c r="J189" s="20"/>
      <c r="K189" s="20"/>
      <c r="L189" s="20"/>
      <c r="M189" s="20"/>
      <c r="N189" s="20"/>
      <c r="O189" s="20"/>
      <c r="P189" s="20"/>
      <c r="Q189" s="20"/>
    </row>
    <row r="190" spans="1:18" x14ac:dyDescent="0.25">
      <c r="A190" s="14" t="s">
        <v>394</v>
      </c>
      <c r="B190" s="14" t="s">
        <v>395</v>
      </c>
      <c r="C190" s="14"/>
      <c r="D190" s="20"/>
      <c r="E190" s="20"/>
      <c r="F190" s="20"/>
      <c r="G190" s="45"/>
      <c r="H190" s="45"/>
      <c r="I190" s="45"/>
      <c r="J190" s="20"/>
      <c r="K190" s="20"/>
      <c r="L190" s="20"/>
      <c r="M190" s="20"/>
      <c r="N190" s="20"/>
      <c r="O190" s="20"/>
      <c r="P190" s="20"/>
      <c r="Q190" s="20"/>
    </row>
    <row r="191" spans="1:18" x14ac:dyDescent="0.25">
      <c r="A191" s="23" t="s">
        <v>427</v>
      </c>
      <c r="B191" s="23" t="s">
        <v>407</v>
      </c>
      <c r="C191" s="23" t="s">
        <v>295</v>
      </c>
      <c r="D191" s="20"/>
      <c r="E191" s="20"/>
      <c r="F191" s="20"/>
      <c r="G191" s="45"/>
      <c r="H191" s="45"/>
      <c r="I191" s="45"/>
      <c r="J191" s="20"/>
      <c r="K191" s="20"/>
      <c r="L191" s="20"/>
      <c r="M191" s="20"/>
      <c r="N191" s="20"/>
      <c r="O191" s="20"/>
      <c r="P191" s="20"/>
      <c r="Q191" s="20"/>
    </row>
    <row r="192" spans="1:18" ht="17.25" customHeight="1" x14ac:dyDescent="0.25">
      <c r="A192" s="23" t="s">
        <v>396</v>
      </c>
      <c r="B192" s="14" t="s">
        <v>384</v>
      </c>
      <c r="C192" s="14" t="s">
        <v>295</v>
      </c>
      <c r="D192" s="20">
        <f>8</f>
        <v>8</v>
      </c>
      <c r="E192" s="20">
        <f>4</f>
        <v>4</v>
      </c>
      <c r="F192" s="20">
        <f>1</f>
        <v>1</v>
      </c>
      <c r="G192" s="20">
        <f>1</f>
        <v>1</v>
      </c>
      <c r="H192" s="20">
        <f>1</f>
        <v>1</v>
      </c>
      <c r="I192" s="20">
        <f>1</f>
        <v>1</v>
      </c>
      <c r="J192" s="20">
        <f>1</f>
        <v>1</v>
      </c>
      <c r="K192" s="20">
        <f>1</f>
        <v>1</v>
      </c>
      <c r="L192" s="20">
        <f>1</f>
        <v>1</v>
      </c>
      <c r="M192" s="20">
        <f>1</f>
        <v>1</v>
      </c>
      <c r="N192" s="20">
        <f>1</f>
        <v>1</v>
      </c>
      <c r="O192" s="20">
        <f>1</f>
        <v>1</v>
      </c>
      <c r="P192" s="20">
        <f>1</f>
        <v>1</v>
      </c>
      <c r="Q192" s="20">
        <f>1</f>
        <v>1</v>
      </c>
    </row>
    <row r="193" spans="1:17" ht="15.75" customHeight="1" x14ac:dyDescent="0.25">
      <c r="A193" s="23" t="s">
        <v>388</v>
      </c>
      <c r="B193" s="14" t="s">
        <v>389</v>
      </c>
      <c r="C193" s="14"/>
      <c r="D193" s="20"/>
      <c r="E193" s="20"/>
      <c r="F193" s="20"/>
      <c r="G193" s="45"/>
      <c r="H193" s="45"/>
      <c r="I193" s="45"/>
      <c r="J193" s="20"/>
      <c r="K193" s="20"/>
      <c r="L193" s="20"/>
      <c r="M193" s="20"/>
      <c r="N193" s="20"/>
      <c r="O193" s="20"/>
      <c r="P193" s="20"/>
      <c r="Q193" s="20"/>
    </row>
    <row r="194" spans="1:17" ht="16.5" customHeight="1" x14ac:dyDescent="0.25">
      <c r="A194" s="23" t="s">
        <v>397</v>
      </c>
      <c r="B194" s="14" t="s">
        <v>386</v>
      </c>
      <c r="C194" s="14" t="s">
        <v>295</v>
      </c>
      <c r="D194" s="20">
        <f>6</f>
        <v>6</v>
      </c>
      <c r="E194" s="20">
        <f>3</f>
        <v>3</v>
      </c>
      <c r="F194" s="20">
        <f>4</f>
        <v>4</v>
      </c>
      <c r="G194" s="20">
        <f>4</f>
        <v>4</v>
      </c>
      <c r="H194" s="20">
        <f>4</f>
        <v>4</v>
      </c>
      <c r="I194" s="20">
        <f>4</f>
        <v>4</v>
      </c>
      <c r="J194" s="20">
        <f>5</f>
        <v>5</v>
      </c>
      <c r="K194" s="20">
        <f>4</f>
        <v>4</v>
      </c>
      <c r="L194" s="20">
        <f>4</f>
        <v>4</v>
      </c>
      <c r="M194" s="20">
        <f>4</f>
        <v>4</v>
      </c>
      <c r="N194" s="20">
        <f>4</f>
        <v>4</v>
      </c>
      <c r="O194" s="20">
        <f>4</f>
        <v>4</v>
      </c>
      <c r="P194" s="20">
        <f>4</f>
        <v>4</v>
      </c>
      <c r="Q194" s="20">
        <f>4</f>
        <v>4</v>
      </c>
    </row>
    <row r="195" spans="1:17" ht="29.25" customHeight="1" x14ac:dyDescent="0.25">
      <c r="A195" s="23" t="s">
        <v>398</v>
      </c>
      <c r="B195" s="14" t="s">
        <v>390</v>
      </c>
      <c r="C195" s="14" t="s">
        <v>295</v>
      </c>
      <c r="D195" s="20">
        <f>3</f>
        <v>3</v>
      </c>
      <c r="E195" s="20">
        <f>15</f>
        <v>15</v>
      </c>
      <c r="F195" s="20">
        <f>2</f>
        <v>2</v>
      </c>
      <c r="G195" s="20">
        <f>2</f>
        <v>2</v>
      </c>
      <c r="H195" s="20">
        <f>2</f>
        <v>2</v>
      </c>
      <c r="I195" s="20">
        <f>2</f>
        <v>2</v>
      </c>
      <c r="J195" s="20">
        <f>2</f>
        <v>2</v>
      </c>
      <c r="K195" s="20">
        <f>2</f>
        <v>2</v>
      </c>
      <c r="L195" s="20">
        <f>2</f>
        <v>2</v>
      </c>
      <c r="M195" s="20">
        <f>2</f>
        <v>2</v>
      </c>
      <c r="N195" s="20">
        <f>3</f>
        <v>3</v>
      </c>
      <c r="O195" s="20">
        <f>2</f>
        <v>2</v>
      </c>
      <c r="P195" s="20">
        <f>2</f>
        <v>2</v>
      </c>
      <c r="Q195" s="20">
        <f>2</f>
        <v>2</v>
      </c>
    </row>
    <row r="196" spans="1:17" ht="30" x14ac:dyDescent="0.25">
      <c r="A196" s="23" t="s">
        <v>399</v>
      </c>
      <c r="B196" s="14" t="s">
        <v>392</v>
      </c>
      <c r="C196" s="14" t="s">
        <v>295</v>
      </c>
      <c r="D196" s="20">
        <f>5</f>
        <v>5</v>
      </c>
      <c r="E196" s="20">
        <f>7</f>
        <v>7</v>
      </c>
      <c r="F196" s="20">
        <f>7</f>
        <v>7</v>
      </c>
      <c r="G196" s="20">
        <f>7</f>
        <v>7</v>
      </c>
      <c r="H196" s="45">
        <f>8</f>
        <v>8</v>
      </c>
      <c r="I196" s="45">
        <f>6</f>
        <v>6</v>
      </c>
      <c r="J196" s="20">
        <f>6</f>
        <v>6</v>
      </c>
      <c r="K196" s="20">
        <f>9</f>
        <v>9</v>
      </c>
      <c r="L196" s="20">
        <f>8</f>
        <v>8</v>
      </c>
      <c r="M196" s="20">
        <f>9</f>
        <v>9</v>
      </c>
      <c r="N196" s="20">
        <f>11</f>
        <v>11</v>
      </c>
      <c r="O196" s="20">
        <f>9</f>
        <v>9</v>
      </c>
      <c r="P196" s="20">
        <f>9</f>
        <v>9</v>
      </c>
      <c r="Q196" s="20">
        <f>11</f>
        <v>11</v>
      </c>
    </row>
    <row r="197" spans="1:17" x14ac:dyDescent="0.25">
      <c r="A197" s="23" t="s">
        <v>409</v>
      </c>
      <c r="B197" s="14" t="s">
        <v>410</v>
      </c>
      <c r="C197" s="14"/>
      <c r="D197" s="20"/>
      <c r="E197" s="20"/>
      <c r="F197" s="20"/>
      <c r="G197" s="45"/>
      <c r="H197" s="45"/>
      <c r="I197" s="45"/>
      <c r="J197" s="20"/>
      <c r="K197" s="20"/>
      <c r="L197" s="20"/>
      <c r="M197" s="20"/>
      <c r="N197" s="20"/>
      <c r="O197" s="20"/>
      <c r="P197" s="20"/>
      <c r="Q197" s="20"/>
    </row>
    <row r="198" spans="1:17" ht="15" customHeight="1" x14ac:dyDescent="0.25">
      <c r="A198" s="23" t="s">
        <v>428</v>
      </c>
      <c r="B198" s="14" t="s">
        <v>412</v>
      </c>
      <c r="C198" s="14" t="s">
        <v>295</v>
      </c>
      <c r="D198" s="20"/>
      <c r="E198" s="20"/>
      <c r="F198" s="20"/>
      <c r="G198" s="45"/>
      <c r="H198" s="45"/>
      <c r="I198" s="45"/>
      <c r="J198" s="20"/>
      <c r="K198" s="20"/>
      <c r="L198" s="20"/>
      <c r="M198" s="20"/>
      <c r="N198" s="20"/>
      <c r="O198" s="20"/>
      <c r="P198" s="20"/>
      <c r="Q198" s="20"/>
    </row>
    <row r="199" spans="1:17" ht="15" customHeight="1" x14ac:dyDescent="0.25">
      <c r="A199" s="23" t="s">
        <v>1117</v>
      </c>
      <c r="B199" s="14" t="s">
        <v>1116</v>
      </c>
      <c r="C199" s="14" t="s">
        <v>295</v>
      </c>
      <c r="D199" s="20">
        <f>1</f>
        <v>1</v>
      </c>
      <c r="E199" s="20">
        <f>1</f>
        <v>1</v>
      </c>
      <c r="F199" s="20">
        <f>1</f>
        <v>1</v>
      </c>
      <c r="G199" s="20">
        <f>1</f>
        <v>1</v>
      </c>
      <c r="H199" s="20">
        <f>1</f>
        <v>1</v>
      </c>
      <c r="I199" s="20">
        <f>1</f>
        <v>1</v>
      </c>
      <c r="J199" s="20">
        <f>1</f>
        <v>1</v>
      </c>
      <c r="K199" s="20">
        <f>1</f>
        <v>1</v>
      </c>
      <c r="L199" s="20">
        <f>1</f>
        <v>1</v>
      </c>
      <c r="M199" s="20">
        <f>1</f>
        <v>1</v>
      </c>
      <c r="N199" s="20">
        <f>1</f>
        <v>1</v>
      </c>
      <c r="O199" s="20">
        <f>1</f>
        <v>1</v>
      </c>
      <c r="P199" s="20">
        <f>1</f>
        <v>1</v>
      </c>
      <c r="Q199" s="20">
        <f>1</f>
        <v>1</v>
      </c>
    </row>
    <row r="200" spans="1:17" x14ac:dyDescent="0.25">
      <c r="A200" s="23" t="s">
        <v>318</v>
      </c>
      <c r="B200" s="14" t="s">
        <v>319</v>
      </c>
      <c r="C200" s="14"/>
      <c r="D200" s="20"/>
      <c r="E200" s="20"/>
      <c r="F200" s="20"/>
      <c r="G200" s="45"/>
      <c r="H200" s="45"/>
      <c r="I200" s="45"/>
      <c r="J200" s="20"/>
      <c r="K200" s="20"/>
      <c r="L200" s="20"/>
      <c r="M200" s="20"/>
      <c r="N200" s="20"/>
      <c r="O200" s="20"/>
      <c r="P200" s="20"/>
      <c r="Q200" s="20"/>
    </row>
    <row r="201" spans="1:17" ht="15" customHeight="1" x14ac:dyDescent="0.25">
      <c r="A201" s="23" t="s">
        <v>429</v>
      </c>
      <c r="B201" s="14" t="s">
        <v>320</v>
      </c>
      <c r="C201" s="14" t="s">
        <v>295</v>
      </c>
      <c r="D201" s="20"/>
      <c r="E201" s="20"/>
      <c r="F201" s="20"/>
      <c r="G201" s="45"/>
      <c r="H201" s="45"/>
      <c r="I201" s="45"/>
      <c r="J201" s="20"/>
      <c r="K201" s="20"/>
      <c r="L201" s="20"/>
      <c r="M201" s="20"/>
      <c r="N201" s="20"/>
      <c r="O201" s="20"/>
      <c r="P201" s="20"/>
      <c r="Q201" s="20"/>
    </row>
    <row r="202" spans="1:17" ht="15" customHeight="1" x14ac:dyDescent="0.25">
      <c r="A202" s="23" t="s">
        <v>403</v>
      </c>
      <c r="B202" s="14" t="s">
        <v>404</v>
      </c>
      <c r="C202" s="14"/>
      <c r="D202" s="20"/>
      <c r="E202" s="20"/>
      <c r="F202" s="20"/>
      <c r="G202" s="45"/>
      <c r="H202" s="45"/>
      <c r="I202" s="45"/>
      <c r="J202" s="20"/>
      <c r="K202" s="20"/>
      <c r="L202" s="20"/>
      <c r="M202" s="20"/>
      <c r="N202" s="20"/>
      <c r="O202" s="20"/>
      <c r="P202" s="20"/>
      <c r="Q202" s="20"/>
    </row>
    <row r="203" spans="1:17" x14ac:dyDescent="0.25">
      <c r="A203" s="23" t="s">
        <v>430</v>
      </c>
      <c r="B203" s="14" t="s">
        <v>413</v>
      </c>
      <c r="C203" s="14" t="s">
        <v>295</v>
      </c>
      <c r="D203" s="20"/>
      <c r="E203" s="20"/>
      <c r="F203" s="20"/>
      <c r="G203" s="45"/>
      <c r="H203" s="45"/>
      <c r="I203" s="45"/>
      <c r="J203" s="20"/>
      <c r="K203" s="20"/>
      <c r="L203" s="20"/>
      <c r="M203" s="20"/>
      <c r="N203" s="20"/>
      <c r="O203" s="20"/>
      <c r="P203" s="20"/>
      <c r="Q203" s="20"/>
    </row>
    <row r="204" spans="1:17" x14ac:dyDescent="0.25">
      <c r="A204" s="23" t="s">
        <v>1185</v>
      </c>
      <c r="B204" s="14" t="s">
        <v>1173</v>
      </c>
      <c r="C204" s="14" t="s">
        <v>295</v>
      </c>
      <c r="D204" s="20"/>
      <c r="E204" s="20">
        <f>3</f>
        <v>3</v>
      </c>
      <c r="F204" s="20">
        <f>1</f>
        <v>1</v>
      </c>
      <c r="G204" s="20">
        <f>1</f>
        <v>1</v>
      </c>
      <c r="H204" s="45"/>
      <c r="I204" s="45"/>
      <c r="J204" s="20"/>
      <c r="K204" s="20"/>
      <c r="L204" s="20"/>
      <c r="M204" s="20"/>
      <c r="N204" s="20"/>
      <c r="O204" s="20"/>
      <c r="P204" s="20"/>
      <c r="Q204" s="20"/>
    </row>
    <row r="205" spans="1:17" x14ac:dyDescent="0.25">
      <c r="A205" s="23" t="s">
        <v>401</v>
      </c>
      <c r="B205" s="14" t="s">
        <v>402</v>
      </c>
      <c r="C205" s="14" t="s">
        <v>295</v>
      </c>
      <c r="D205" s="20">
        <f>1</f>
        <v>1</v>
      </c>
      <c r="E205" s="20">
        <f>1</f>
        <v>1</v>
      </c>
      <c r="F205" s="20">
        <f>2</f>
        <v>2</v>
      </c>
      <c r="G205" s="45"/>
      <c r="H205" s="45">
        <f>1</f>
        <v>1</v>
      </c>
      <c r="I205" s="45">
        <f>4</f>
        <v>4</v>
      </c>
      <c r="J205" s="20"/>
      <c r="K205" s="20"/>
      <c r="L205" s="20"/>
      <c r="M205" s="20"/>
      <c r="N205" s="20"/>
      <c r="O205" s="20"/>
      <c r="P205" s="20"/>
      <c r="Q205" s="20"/>
    </row>
    <row r="206" spans="1:17" x14ac:dyDescent="0.25">
      <c r="A206" s="23" t="s">
        <v>415</v>
      </c>
      <c r="B206" s="14" t="s">
        <v>416</v>
      </c>
      <c r="C206" s="14"/>
      <c r="D206" s="20"/>
      <c r="E206" s="20"/>
      <c r="F206" s="20"/>
      <c r="G206" s="45"/>
      <c r="H206" s="45"/>
      <c r="I206" s="45"/>
      <c r="J206" s="20"/>
      <c r="K206" s="20"/>
      <c r="L206" s="20"/>
      <c r="M206" s="20"/>
      <c r="N206" s="20"/>
      <c r="O206" s="20"/>
      <c r="P206" s="20"/>
      <c r="Q206" s="20"/>
    </row>
    <row r="207" spans="1:17" ht="15" customHeight="1" x14ac:dyDescent="0.25">
      <c r="A207" s="23" t="s">
        <v>431</v>
      </c>
      <c r="B207" s="14" t="s">
        <v>418</v>
      </c>
      <c r="C207" s="14" t="s">
        <v>295</v>
      </c>
      <c r="D207" s="20"/>
      <c r="E207" s="20"/>
      <c r="F207" s="20"/>
      <c r="G207" s="45"/>
      <c r="H207" s="45"/>
      <c r="I207" s="45"/>
      <c r="J207" s="20"/>
      <c r="K207" s="20"/>
      <c r="L207" s="20"/>
      <c r="M207" s="20"/>
      <c r="N207" s="20"/>
      <c r="O207" s="20"/>
      <c r="P207" s="20"/>
      <c r="Q207" s="20"/>
    </row>
    <row r="208" spans="1:17" s="196" customFormat="1" ht="15" customHeight="1" x14ac:dyDescent="0.25">
      <c r="A208" s="260" t="s">
        <v>1199</v>
      </c>
      <c r="B208" s="260"/>
      <c r="C208" s="66"/>
      <c r="D208" s="64">
        <f>SUM(D191:D207)</f>
        <v>24</v>
      </c>
      <c r="E208" s="64">
        <f t="shared" ref="E208:Q208" si="37">SUM(E191:E207)</f>
        <v>34</v>
      </c>
      <c r="F208" s="64">
        <f t="shared" si="37"/>
        <v>18</v>
      </c>
      <c r="G208" s="64">
        <f t="shared" si="37"/>
        <v>16</v>
      </c>
      <c r="H208" s="64">
        <f t="shared" si="37"/>
        <v>17</v>
      </c>
      <c r="I208" s="64">
        <f t="shared" si="37"/>
        <v>18</v>
      </c>
      <c r="J208" s="64">
        <f t="shared" si="37"/>
        <v>15</v>
      </c>
      <c r="K208" s="64">
        <f t="shared" si="37"/>
        <v>17</v>
      </c>
      <c r="L208" s="64">
        <f t="shared" si="37"/>
        <v>16</v>
      </c>
      <c r="M208" s="64">
        <f t="shared" si="37"/>
        <v>17</v>
      </c>
      <c r="N208" s="64">
        <f t="shared" si="37"/>
        <v>20</v>
      </c>
      <c r="O208" s="64">
        <f t="shared" si="37"/>
        <v>17</v>
      </c>
      <c r="P208" s="64">
        <f t="shared" si="37"/>
        <v>17</v>
      </c>
      <c r="Q208" s="64">
        <f t="shared" si="37"/>
        <v>19</v>
      </c>
    </row>
    <row r="209" spans="1:19" x14ac:dyDescent="0.25">
      <c r="A209" s="257" t="s">
        <v>10</v>
      </c>
      <c r="B209" s="258"/>
      <c r="C209" s="259"/>
      <c r="D209" s="20"/>
      <c r="E209" s="20"/>
      <c r="F209" s="20"/>
      <c r="G209" s="45"/>
      <c r="H209" s="45"/>
      <c r="I209" s="45"/>
      <c r="J209" s="20"/>
      <c r="K209" s="20"/>
      <c r="L209" s="20"/>
      <c r="M209" s="20"/>
      <c r="N209" s="20"/>
      <c r="O209" s="20"/>
      <c r="P209" s="20"/>
      <c r="Q209" s="20"/>
    </row>
    <row r="210" spans="1:19" x14ac:dyDescent="0.25">
      <c r="A210" s="31">
        <v>36988</v>
      </c>
      <c r="B210" s="14" t="s">
        <v>1186</v>
      </c>
      <c r="C210" s="55" t="s">
        <v>295</v>
      </c>
      <c r="D210" s="20"/>
      <c r="E210" s="20">
        <f>3</f>
        <v>3</v>
      </c>
      <c r="F210" s="20">
        <f>1</f>
        <v>1</v>
      </c>
      <c r="G210" s="20">
        <f>1</f>
        <v>1</v>
      </c>
      <c r="H210" s="20">
        <f>1</f>
        <v>1</v>
      </c>
      <c r="I210" s="20">
        <f>1</f>
        <v>1</v>
      </c>
      <c r="J210" s="20">
        <f>1</f>
        <v>1</v>
      </c>
      <c r="K210" s="20">
        <f>1</f>
        <v>1</v>
      </c>
      <c r="L210" s="20">
        <f>1</f>
        <v>1</v>
      </c>
      <c r="M210" s="20">
        <f>1</f>
        <v>1</v>
      </c>
      <c r="N210" s="20">
        <f>1</f>
        <v>1</v>
      </c>
      <c r="O210" s="20">
        <f>1</f>
        <v>1</v>
      </c>
      <c r="P210" s="20">
        <f>1</f>
        <v>1</v>
      </c>
      <c r="Q210" s="20">
        <f>1</f>
        <v>1</v>
      </c>
    </row>
    <row r="211" spans="1:19" s="193" customFormat="1" x14ac:dyDescent="0.25">
      <c r="A211" s="31" t="s">
        <v>487</v>
      </c>
      <c r="B211" s="14" t="s">
        <v>486</v>
      </c>
      <c r="C211" s="55" t="s">
        <v>295</v>
      </c>
      <c r="D211" s="20"/>
      <c r="E211" s="20"/>
      <c r="F211" s="20"/>
      <c r="G211" s="45"/>
      <c r="H211" s="45"/>
      <c r="I211" s="45"/>
      <c r="J211" s="20"/>
      <c r="K211" s="20"/>
      <c r="L211" s="20"/>
      <c r="M211" s="20"/>
      <c r="N211" s="20"/>
      <c r="O211" s="20"/>
      <c r="P211" s="20"/>
      <c r="Q211" s="20"/>
    </row>
    <row r="212" spans="1:19" x14ac:dyDescent="0.25">
      <c r="A212" s="14" t="s">
        <v>28</v>
      </c>
      <c r="B212" s="270" t="s">
        <v>29</v>
      </c>
      <c r="C212" s="271"/>
      <c r="D212" s="20"/>
      <c r="E212" s="20"/>
      <c r="F212" s="20"/>
      <c r="G212" s="45"/>
      <c r="H212" s="45"/>
      <c r="I212" s="45"/>
      <c r="J212" s="20"/>
      <c r="K212" s="20"/>
      <c r="L212" s="20"/>
      <c r="M212" s="20"/>
      <c r="N212" s="20"/>
      <c r="O212" s="20"/>
      <c r="P212" s="20"/>
      <c r="Q212" s="20"/>
      <c r="S212" s="191"/>
    </row>
    <row r="213" spans="1:19" x14ac:dyDescent="0.25">
      <c r="A213" s="23" t="s">
        <v>49</v>
      </c>
      <c r="B213" s="14" t="s">
        <v>42</v>
      </c>
      <c r="C213" s="55" t="s">
        <v>295</v>
      </c>
      <c r="D213" s="20">
        <f>20+380</f>
        <v>400</v>
      </c>
      <c r="E213" s="20">
        <f>20+390+5</f>
        <v>415</v>
      </c>
      <c r="F213" s="20">
        <f>20+402+2+1</f>
        <v>425</v>
      </c>
      <c r="G213" s="20">
        <f>20+410+1</f>
        <v>431</v>
      </c>
      <c r="H213" s="20">
        <f>20+420+1</f>
        <v>441</v>
      </c>
      <c r="I213" s="20">
        <f>20+430+1</f>
        <v>451</v>
      </c>
      <c r="J213" s="20">
        <f>20+450+1</f>
        <v>471</v>
      </c>
      <c r="K213" s="20">
        <f>20+465+1</f>
        <v>486</v>
      </c>
      <c r="L213" s="20">
        <f>20+480+1</f>
        <v>501</v>
      </c>
      <c r="M213" s="20">
        <f>20+500+1</f>
        <v>521</v>
      </c>
      <c r="N213" s="20">
        <f>20+505+1</f>
        <v>526</v>
      </c>
      <c r="O213" s="20">
        <f>20+515+1</f>
        <v>536</v>
      </c>
      <c r="P213" s="20">
        <f>20+530+1</f>
        <v>551</v>
      </c>
      <c r="Q213" s="20">
        <f>20+540+1</f>
        <v>561</v>
      </c>
      <c r="R213" s="191"/>
    </row>
    <row r="214" spans="1:19" x14ac:dyDescent="0.25">
      <c r="A214" s="14" t="s">
        <v>6</v>
      </c>
      <c r="B214" s="270" t="s">
        <v>7</v>
      </c>
      <c r="C214" s="271"/>
      <c r="D214" s="20"/>
      <c r="E214" s="20"/>
      <c r="F214" s="20"/>
      <c r="G214" s="45"/>
      <c r="H214" s="45"/>
      <c r="I214" s="45"/>
      <c r="J214" s="20"/>
      <c r="K214" s="20"/>
      <c r="L214" s="20"/>
      <c r="M214" s="20"/>
      <c r="N214" s="20"/>
      <c r="O214" s="20"/>
      <c r="P214" s="20"/>
      <c r="Q214" s="20"/>
    </row>
    <row r="215" spans="1:19" x14ac:dyDescent="0.25">
      <c r="A215" s="23" t="s">
        <v>367</v>
      </c>
      <c r="B215" s="39" t="s">
        <v>324</v>
      </c>
      <c r="C215" s="55" t="s">
        <v>295</v>
      </c>
      <c r="D215" s="20">
        <f>3+1</f>
        <v>4</v>
      </c>
      <c r="E215" s="20">
        <f>2+1+5</f>
        <v>8</v>
      </c>
      <c r="F215" s="20">
        <f>2+1+1</f>
        <v>4</v>
      </c>
      <c r="G215" s="20">
        <f t="shared" ref="G215:K215" si="38">2+1+1</f>
        <v>4</v>
      </c>
      <c r="H215" s="20">
        <f t="shared" si="38"/>
        <v>4</v>
      </c>
      <c r="I215" s="20">
        <f t="shared" si="38"/>
        <v>4</v>
      </c>
      <c r="J215" s="20">
        <f t="shared" si="38"/>
        <v>4</v>
      </c>
      <c r="K215" s="20">
        <f t="shared" si="38"/>
        <v>4</v>
      </c>
      <c r="L215" s="20">
        <f>3+1+1</f>
        <v>5</v>
      </c>
      <c r="M215" s="20">
        <f>2+1+1</f>
        <v>4</v>
      </c>
      <c r="N215" s="20">
        <f t="shared" ref="N215:Q215" si="39">2+1+1</f>
        <v>4</v>
      </c>
      <c r="O215" s="20">
        <f t="shared" si="39"/>
        <v>4</v>
      </c>
      <c r="P215" s="20">
        <f t="shared" si="39"/>
        <v>4</v>
      </c>
      <c r="Q215" s="20">
        <f t="shared" si="39"/>
        <v>4</v>
      </c>
    </row>
    <row r="216" spans="1:19" x14ac:dyDescent="0.25">
      <c r="A216" s="14" t="s">
        <v>198</v>
      </c>
      <c r="B216" s="35" t="s">
        <v>123</v>
      </c>
      <c r="C216" s="55" t="s">
        <v>295</v>
      </c>
      <c r="D216" s="20">
        <f>9</f>
        <v>9</v>
      </c>
      <c r="E216" s="20">
        <f>9+2+5</f>
        <v>16</v>
      </c>
      <c r="F216" s="20">
        <f>10+1+1</f>
        <v>12</v>
      </c>
      <c r="G216" s="45">
        <f>11+1+1</f>
        <v>13</v>
      </c>
      <c r="H216" s="45">
        <f>11+1+1</f>
        <v>13</v>
      </c>
      <c r="I216" s="45">
        <f>9+2+1</f>
        <v>12</v>
      </c>
      <c r="J216" s="20">
        <f>9+1+1</f>
        <v>11</v>
      </c>
      <c r="K216" s="20">
        <f>10+2+1</f>
        <v>13</v>
      </c>
      <c r="L216" s="20">
        <f>9+2+1</f>
        <v>12</v>
      </c>
      <c r="M216" s="20">
        <f>12+1+1</f>
        <v>14</v>
      </c>
      <c r="N216" s="20">
        <f>10+1</f>
        <v>11</v>
      </c>
      <c r="O216" s="20">
        <f>10+1+1</f>
        <v>12</v>
      </c>
      <c r="P216" s="20">
        <f>10+2+1</f>
        <v>13</v>
      </c>
      <c r="Q216" s="20">
        <f>12+1</f>
        <v>13</v>
      </c>
    </row>
    <row r="217" spans="1:19" x14ac:dyDescent="0.25">
      <c r="A217" s="23" t="s">
        <v>400</v>
      </c>
      <c r="B217" s="35" t="s">
        <v>326</v>
      </c>
      <c r="C217" s="55" t="s">
        <v>295</v>
      </c>
      <c r="D217" s="20">
        <f>3</f>
        <v>3</v>
      </c>
      <c r="E217" s="20">
        <f>3+5</f>
        <v>8</v>
      </c>
      <c r="F217" s="20">
        <f>3+1</f>
        <v>4</v>
      </c>
      <c r="G217" s="20">
        <f t="shared" ref="G217:Q217" si="40">3+1</f>
        <v>4</v>
      </c>
      <c r="H217" s="20">
        <f t="shared" si="40"/>
        <v>4</v>
      </c>
      <c r="I217" s="20">
        <f t="shared" si="40"/>
        <v>4</v>
      </c>
      <c r="J217" s="20">
        <f t="shared" si="40"/>
        <v>4</v>
      </c>
      <c r="K217" s="20">
        <f t="shared" si="40"/>
        <v>4</v>
      </c>
      <c r="L217" s="20">
        <f t="shared" si="40"/>
        <v>4</v>
      </c>
      <c r="M217" s="20">
        <f t="shared" si="40"/>
        <v>4</v>
      </c>
      <c r="N217" s="20">
        <f t="shared" si="40"/>
        <v>4</v>
      </c>
      <c r="O217" s="20">
        <f t="shared" si="40"/>
        <v>4</v>
      </c>
      <c r="P217" s="20">
        <f t="shared" si="40"/>
        <v>4</v>
      </c>
      <c r="Q217" s="20">
        <f t="shared" si="40"/>
        <v>4</v>
      </c>
    </row>
    <row r="218" spans="1:19" x14ac:dyDescent="0.25">
      <c r="A218" s="23" t="s">
        <v>233</v>
      </c>
      <c r="B218" s="35" t="s">
        <v>105</v>
      </c>
      <c r="C218" s="55" t="s">
        <v>295</v>
      </c>
      <c r="D218" s="20">
        <f>3+1</f>
        <v>4</v>
      </c>
      <c r="E218" s="20">
        <f>3+1+5</f>
        <v>9</v>
      </c>
      <c r="F218" s="20">
        <f>3+1+1</f>
        <v>5</v>
      </c>
      <c r="G218" s="20">
        <f>2+1+1</f>
        <v>4</v>
      </c>
      <c r="H218" s="20">
        <f>4+1+1</f>
        <v>6</v>
      </c>
      <c r="I218" s="20">
        <f>3+1+1</f>
        <v>5</v>
      </c>
      <c r="J218" s="20">
        <f>2+1+1</f>
        <v>4</v>
      </c>
      <c r="K218" s="20">
        <f>2+1+1</f>
        <v>4</v>
      </c>
      <c r="L218" s="20">
        <f>3+1+1</f>
        <v>5</v>
      </c>
      <c r="M218" s="20">
        <f>2+1+1</f>
        <v>4</v>
      </c>
      <c r="N218" s="20">
        <f>2+1+1</f>
        <v>4</v>
      </c>
      <c r="O218" s="20">
        <f>4+1+1</f>
        <v>6</v>
      </c>
      <c r="P218" s="20">
        <f>3+1+1</f>
        <v>5</v>
      </c>
      <c r="Q218" s="20">
        <f>4+1+1</f>
        <v>6</v>
      </c>
    </row>
    <row r="219" spans="1:19" x14ac:dyDescent="0.25">
      <c r="A219" s="23" t="s">
        <v>52</v>
      </c>
      <c r="B219" s="35" t="s">
        <v>53</v>
      </c>
      <c r="C219" s="35"/>
      <c r="D219" s="20"/>
      <c r="E219" s="20"/>
      <c r="F219" s="20"/>
      <c r="G219" s="45"/>
      <c r="H219" s="45"/>
      <c r="I219" s="45"/>
      <c r="J219" s="20"/>
      <c r="K219" s="20"/>
      <c r="L219" s="20"/>
      <c r="M219" s="20"/>
      <c r="N219" s="20"/>
      <c r="O219" s="20"/>
      <c r="P219" s="20"/>
      <c r="Q219" s="20"/>
    </row>
    <row r="220" spans="1:19" x14ac:dyDescent="0.25">
      <c r="A220" s="23" t="s">
        <v>253</v>
      </c>
      <c r="B220" s="35" t="s">
        <v>54</v>
      </c>
      <c r="C220" s="55" t="s">
        <v>295</v>
      </c>
      <c r="D220" s="20">
        <f>9</f>
        <v>9</v>
      </c>
      <c r="E220" s="20">
        <f>9+1+1+5</f>
        <v>16</v>
      </c>
      <c r="F220" s="20">
        <f>10+1</f>
        <v>11</v>
      </c>
      <c r="G220" s="20">
        <f>9+1</f>
        <v>10</v>
      </c>
      <c r="H220" s="20">
        <f>9+1+2</f>
        <v>12</v>
      </c>
      <c r="I220" s="45">
        <f>11+1+2</f>
        <v>14</v>
      </c>
      <c r="J220" s="20">
        <f>11+1+1+2</f>
        <v>15</v>
      </c>
      <c r="K220" s="20">
        <f>10+1+2</f>
        <v>13</v>
      </c>
      <c r="L220" s="20">
        <f>12+2</f>
        <v>14</v>
      </c>
      <c r="M220" s="20">
        <f>11+1+2</f>
        <v>14</v>
      </c>
      <c r="N220" s="20">
        <f>11+1+1+2</f>
        <v>15</v>
      </c>
      <c r="O220" s="20">
        <f>12+1+2</f>
        <v>15</v>
      </c>
      <c r="P220" s="20">
        <f>11+2</f>
        <v>13</v>
      </c>
      <c r="Q220" s="20">
        <f>11+1+2</f>
        <v>14</v>
      </c>
    </row>
    <row r="221" spans="1:19" x14ac:dyDescent="0.25">
      <c r="A221" s="23" t="s">
        <v>30</v>
      </c>
      <c r="B221" s="270" t="s">
        <v>31</v>
      </c>
      <c r="C221" s="271"/>
      <c r="D221" s="20"/>
      <c r="E221" s="20"/>
      <c r="F221" s="20"/>
      <c r="G221" s="45"/>
      <c r="H221" s="45"/>
      <c r="I221" s="45"/>
      <c r="J221" s="20"/>
      <c r="K221" s="20"/>
      <c r="L221" s="20"/>
      <c r="M221" s="20"/>
      <c r="N221" s="20"/>
      <c r="O221" s="20"/>
      <c r="P221" s="20"/>
      <c r="Q221" s="20"/>
    </row>
    <row r="222" spans="1:19" x14ac:dyDescent="0.25">
      <c r="A222" s="23" t="s">
        <v>1066</v>
      </c>
      <c r="B222" s="14" t="s">
        <v>232</v>
      </c>
      <c r="C222" s="14" t="s">
        <v>295</v>
      </c>
      <c r="D222" s="20">
        <f>1</f>
        <v>1</v>
      </c>
      <c r="E222" s="20">
        <f>1</f>
        <v>1</v>
      </c>
      <c r="F222" s="20">
        <f>1</f>
        <v>1</v>
      </c>
      <c r="G222" s="20">
        <f>1</f>
        <v>1</v>
      </c>
      <c r="H222" s="20">
        <f>1</f>
        <v>1</v>
      </c>
      <c r="I222" s="20">
        <f>1</f>
        <v>1</v>
      </c>
      <c r="J222" s="20">
        <f>1</f>
        <v>1</v>
      </c>
      <c r="K222" s="20">
        <f>1</f>
        <v>1</v>
      </c>
      <c r="L222" s="20">
        <f>1</f>
        <v>1</v>
      </c>
      <c r="M222" s="20">
        <f>1</f>
        <v>1</v>
      </c>
      <c r="N222" s="20">
        <f>1</f>
        <v>1</v>
      </c>
      <c r="O222" s="20">
        <f>1</f>
        <v>1</v>
      </c>
      <c r="P222" s="20">
        <f>1</f>
        <v>1</v>
      </c>
      <c r="Q222" s="20">
        <f>1</f>
        <v>1</v>
      </c>
    </row>
    <row r="223" spans="1:19" x14ac:dyDescent="0.25">
      <c r="A223" s="23" t="s">
        <v>369</v>
      </c>
      <c r="B223" s="35" t="s">
        <v>370</v>
      </c>
      <c r="C223" s="55" t="s">
        <v>295</v>
      </c>
      <c r="D223" s="20">
        <f>3</f>
        <v>3</v>
      </c>
      <c r="E223" s="20">
        <f>4+1</f>
        <v>5</v>
      </c>
      <c r="F223" s="20">
        <f>2</f>
        <v>2</v>
      </c>
      <c r="G223" s="20">
        <f>2</f>
        <v>2</v>
      </c>
      <c r="H223" s="20">
        <f>2+1</f>
        <v>3</v>
      </c>
      <c r="I223" s="20">
        <f>2+2</f>
        <v>4</v>
      </c>
      <c r="J223" s="20">
        <f>2+2</f>
        <v>4</v>
      </c>
      <c r="K223" s="20">
        <f>2</f>
        <v>2</v>
      </c>
      <c r="L223" s="20">
        <f>2+1</f>
        <v>3</v>
      </c>
      <c r="M223" s="20">
        <f>2</f>
        <v>2</v>
      </c>
      <c r="N223" s="20">
        <f>2</f>
        <v>2</v>
      </c>
      <c r="O223" s="20">
        <f>2</f>
        <v>2</v>
      </c>
      <c r="P223" s="20">
        <f>2+2</f>
        <v>4</v>
      </c>
      <c r="Q223" s="20">
        <f>2+2</f>
        <v>4</v>
      </c>
    </row>
    <row r="224" spans="1:19" x14ac:dyDescent="0.25">
      <c r="A224" s="23" t="s">
        <v>368</v>
      </c>
      <c r="B224" s="35" t="s">
        <v>328</v>
      </c>
      <c r="C224" s="55" t="s">
        <v>295</v>
      </c>
      <c r="D224" s="20">
        <f>1</f>
        <v>1</v>
      </c>
      <c r="E224" s="20">
        <f>1</f>
        <v>1</v>
      </c>
      <c r="F224" s="20">
        <f>1</f>
        <v>1</v>
      </c>
      <c r="G224" s="20">
        <f>1</f>
        <v>1</v>
      </c>
      <c r="H224" s="20">
        <f>1</f>
        <v>1</v>
      </c>
      <c r="I224" s="20">
        <f>1</f>
        <v>1</v>
      </c>
      <c r="J224" s="20">
        <f>1</f>
        <v>1</v>
      </c>
      <c r="K224" s="20">
        <f>1</f>
        <v>1</v>
      </c>
      <c r="L224" s="20">
        <f>1</f>
        <v>1</v>
      </c>
      <c r="M224" s="20">
        <f>1</f>
        <v>1</v>
      </c>
      <c r="N224" s="20">
        <f>1</f>
        <v>1</v>
      </c>
      <c r="O224" s="20">
        <f>1</f>
        <v>1</v>
      </c>
      <c r="P224" s="20">
        <f>1</f>
        <v>1</v>
      </c>
      <c r="Q224" s="20">
        <f>1</f>
        <v>1</v>
      </c>
    </row>
    <row r="225" spans="1:17" ht="30" customHeight="1" x14ac:dyDescent="0.25">
      <c r="A225" s="23" t="s">
        <v>332</v>
      </c>
      <c r="B225" s="14" t="s">
        <v>333</v>
      </c>
      <c r="C225" s="14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</row>
    <row r="226" spans="1:17" x14ac:dyDescent="0.25">
      <c r="A226" s="23" t="s">
        <v>1118</v>
      </c>
      <c r="B226" s="14" t="s">
        <v>1112</v>
      </c>
      <c r="C226" s="14" t="s">
        <v>295</v>
      </c>
      <c r="D226" s="20">
        <f>1</f>
        <v>1</v>
      </c>
      <c r="E226" s="20">
        <f>1</f>
        <v>1</v>
      </c>
      <c r="F226" s="20">
        <f>1</f>
        <v>1</v>
      </c>
      <c r="G226" s="20">
        <f>1</f>
        <v>1</v>
      </c>
      <c r="H226" s="20">
        <f>1</f>
        <v>1</v>
      </c>
      <c r="I226" s="20">
        <f>1</f>
        <v>1</v>
      </c>
      <c r="J226" s="20">
        <f>1</f>
        <v>1</v>
      </c>
      <c r="K226" s="20">
        <f>1</f>
        <v>1</v>
      </c>
      <c r="L226" s="20">
        <f>1</f>
        <v>1</v>
      </c>
      <c r="M226" s="20">
        <f>1</f>
        <v>1</v>
      </c>
      <c r="N226" s="20">
        <f>1</f>
        <v>1</v>
      </c>
      <c r="O226" s="20">
        <f>1</f>
        <v>1</v>
      </c>
      <c r="P226" s="20">
        <f>1</f>
        <v>1</v>
      </c>
      <c r="Q226" s="20">
        <f>1</f>
        <v>1</v>
      </c>
    </row>
    <row r="227" spans="1:17" x14ac:dyDescent="0.25">
      <c r="A227" s="23" t="s">
        <v>32</v>
      </c>
      <c r="B227" s="14" t="s">
        <v>33</v>
      </c>
      <c r="C227" s="14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</row>
    <row r="228" spans="1:17" x14ac:dyDescent="0.25">
      <c r="A228" s="23" t="s">
        <v>1120</v>
      </c>
      <c r="B228" s="14" t="s">
        <v>1119</v>
      </c>
      <c r="C228" s="14" t="s">
        <v>295</v>
      </c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</row>
    <row r="229" spans="1:17" x14ac:dyDescent="0.25">
      <c r="A229" s="23" t="s">
        <v>1121</v>
      </c>
      <c r="B229" s="14" t="s">
        <v>124</v>
      </c>
      <c r="C229" s="14" t="s">
        <v>295</v>
      </c>
      <c r="D229" s="20">
        <f>2</f>
        <v>2</v>
      </c>
      <c r="E229" s="20">
        <f>2</f>
        <v>2</v>
      </c>
      <c r="F229" s="20">
        <f>2</f>
        <v>2</v>
      </c>
      <c r="G229" s="20">
        <f>2</f>
        <v>2</v>
      </c>
      <c r="H229" s="20">
        <f>2</f>
        <v>2</v>
      </c>
      <c r="I229" s="20">
        <f>2</f>
        <v>2</v>
      </c>
      <c r="J229" s="20">
        <f>2</f>
        <v>2</v>
      </c>
      <c r="K229" s="20">
        <f>2</f>
        <v>2</v>
      </c>
      <c r="L229" s="20">
        <f>2</f>
        <v>2</v>
      </c>
      <c r="M229" s="20">
        <f>2</f>
        <v>2</v>
      </c>
      <c r="N229" s="20">
        <f>2</f>
        <v>2</v>
      </c>
      <c r="O229" s="20">
        <f>2</f>
        <v>2</v>
      </c>
      <c r="P229" s="20">
        <f>2</f>
        <v>2</v>
      </c>
      <c r="Q229" s="20">
        <f>2</f>
        <v>2</v>
      </c>
    </row>
    <row r="230" spans="1:17" x14ac:dyDescent="0.25">
      <c r="A230" s="23" t="s">
        <v>148</v>
      </c>
      <c r="B230" s="14" t="s">
        <v>149</v>
      </c>
      <c r="C230" s="14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</row>
    <row r="231" spans="1:17" ht="30" x14ac:dyDescent="0.25">
      <c r="A231" s="23" t="s">
        <v>1122</v>
      </c>
      <c r="B231" s="14" t="s">
        <v>228</v>
      </c>
      <c r="C231" s="14" t="s">
        <v>295</v>
      </c>
      <c r="D231" s="20">
        <f>2</f>
        <v>2</v>
      </c>
      <c r="E231" s="20">
        <f>2</f>
        <v>2</v>
      </c>
      <c r="F231" s="20">
        <f>2</f>
        <v>2</v>
      </c>
      <c r="G231" s="20">
        <f>2</f>
        <v>2</v>
      </c>
      <c r="H231" s="20">
        <f>2</f>
        <v>2</v>
      </c>
      <c r="I231" s="20">
        <f>2</f>
        <v>2</v>
      </c>
      <c r="J231" s="20">
        <f>2</f>
        <v>2</v>
      </c>
      <c r="K231" s="20">
        <f>2</f>
        <v>2</v>
      </c>
      <c r="L231" s="20">
        <f>2</f>
        <v>2</v>
      </c>
      <c r="M231" s="20">
        <f>2</f>
        <v>2</v>
      </c>
      <c r="N231" s="20">
        <f>2</f>
        <v>2</v>
      </c>
      <c r="O231" s="20">
        <f>2</f>
        <v>2</v>
      </c>
      <c r="P231" s="20">
        <f>2</f>
        <v>2</v>
      </c>
      <c r="Q231" s="20">
        <f>2</f>
        <v>2</v>
      </c>
    </row>
    <row r="232" spans="1:17" x14ac:dyDescent="0.25">
      <c r="A232" s="23" t="s">
        <v>107</v>
      </c>
      <c r="B232" s="14" t="s">
        <v>108</v>
      </c>
      <c r="C232" s="14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</row>
    <row r="233" spans="1:17" x14ac:dyDescent="0.25">
      <c r="A233" s="23" t="s">
        <v>1123</v>
      </c>
      <c r="B233" s="14" t="s">
        <v>220</v>
      </c>
      <c r="C233" s="14" t="s">
        <v>295</v>
      </c>
      <c r="D233" s="20">
        <f>1+1</f>
        <v>2</v>
      </c>
      <c r="E233" s="20">
        <f t="shared" ref="E233:Q233" si="41">1+1</f>
        <v>2</v>
      </c>
      <c r="F233" s="20">
        <f t="shared" si="41"/>
        <v>2</v>
      </c>
      <c r="G233" s="20">
        <f t="shared" si="41"/>
        <v>2</v>
      </c>
      <c r="H233" s="20">
        <f t="shared" si="41"/>
        <v>2</v>
      </c>
      <c r="I233" s="20">
        <f t="shared" si="41"/>
        <v>2</v>
      </c>
      <c r="J233" s="20">
        <f t="shared" si="41"/>
        <v>2</v>
      </c>
      <c r="K233" s="20">
        <f t="shared" si="41"/>
        <v>2</v>
      </c>
      <c r="L233" s="20">
        <f t="shared" si="41"/>
        <v>2</v>
      </c>
      <c r="M233" s="20">
        <f t="shared" si="41"/>
        <v>2</v>
      </c>
      <c r="N233" s="20">
        <f t="shared" si="41"/>
        <v>2</v>
      </c>
      <c r="O233" s="20">
        <f t="shared" si="41"/>
        <v>2</v>
      </c>
      <c r="P233" s="20">
        <f t="shared" si="41"/>
        <v>2</v>
      </c>
      <c r="Q233" s="20">
        <f t="shared" si="41"/>
        <v>2</v>
      </c>
    </row>
    <row r="234" spans="1:17" ht="30" x14ac:dyDescent="0.25">
      <c r="A234" s="23" t="s">
        <v>1177</v>
      </c>
      <c r="B234" s="14" t="s">
        <v>341</v>
      </c>
      <c r="C234" s="14" t="s">
        <v>295</v>
      </c>
      <c r="D234" s="20">
        <f>1</f>
        <v>1</v>
      </c>
      <c r="E234" s="20">
        <f>1</f>
        <v>1</v>
      </c>
      <c r="F234" s="20">
        <f>1</f>
        <v>1</v>
      </c>
      <c r="G234" s="20">
        <f>1</f>
        <v>1</v>
      </c>
      <c r="H234" s="20">
        <f>1</f>
        <v>1</v>
      </c>
      <c r="I234" s="20">
        <f>1</f>
        <v>1</v>
      </c>
      <c r="J234" s="20">
        <f>1</f>
        <v>1</v>
      </c>
      <c r="K234" s="20">
        <f>1</f>
        <v>1</v>
      </c>
      <c r="L234" s="20">
        <f>1</f>
        <v>1</v>
      </c>
      <c r="M234" s="20">
        <f>1</f>
        <v>1</v>
      </c>
      <c r="N234" s="20">
        <f>1</f>
        <v>1</v>
      </c>
      <c r="O234" s="20">
        <f>1</f>
        <v>1</v>
      </c>
      <c r="P234" s="20">
        <f>1</f>
        <v>1</v>
      </c>
      <c r="Q234" s="20">
        <f>1</f>
        <v>1</v>
      </c>
    </row>
    <row r="235" spans="1:17" ht="30" x14ac:dyDescent="0.25">
      <c r="A235" s="23" t="s">
        <v>20</v>
      </c>
      <c r="B235" s="14" t="s">
        <v>21</v>
      </c>
      <c r="C235" s="14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</row>
    <row r="236" spans="1:17" x14ac:dyDescent="0.25">
      <c r="A236" s="23" t="s">
        <v>1187</v>
      </c>
      <c r="B236" s="14" t="s">
        <v>226</v>
      </c>
      <c r="C236" s="14" t="s">
        <v>295</v>
      </c>
      <c r="D236" s="20"/>
      <c r="E236" s="20">
        <f>5</f>
        <v>5</v>
      </c>
      <c r="F236" s="20">
        <f>1</f>
        <v>1</v>
      </c>
      <c r="G236" s="20">
        <f>1</f>
        <v>1</v>
      </c>
      <c r="H236" s="20">
        <f>1</f>
        <v>1</v>
      </c>
      <c r="I236" s="20">
        <f>1</f>
        <v>1</v>
      </c>
      <c r="J236" s="20">
        <f>1</f>
        <v>1</v>
      </c>
      <c r="K236" s="20">
        <f>1</f>
        <v>1</v>
      </c>
      <c r="L236" s="20">
        <f>1</f>
        <v>1</v>
      </c>
      <c r="M236" s="20">
        <f>1</f>
        <v>1</v>
      </c>
      <c r="N236" s="20">
        <f>1</f>
        <v>1</v>
      </c>
      <c r="O236" s="20">
        <f>1</f>
        <v>1</v>
      </c>
      <c r="P236" s="20">
        <f>1</f>
        <v>1</v>
      </c>
      <c r="Q236" s="20">
        <f>1</f>
        <v>1</v>
      </c>
    </row>
    <row r="237" spans="1:17" x14ac:dyDescent="0.25">
      <c r="A237" s="23" t="s">
        <v>1188</v>
      </c>
      <c r="B237" s="14" t="s">
        <v>126</v>
      </c>
      <c r="C237" s="14" t="s">
        <v>295</v>
      </c>
      <c r="D237" s="20"/>
      <c r="E237" s="20">
        <f>2</f>
        <v>2</v>
      </c>
      <c r="F237" s="20">
        <f>1</f>
        <v>1</v>
      </c>
      <c r="G237" s="20">
        <f>1</f>
        <v>1</v>
      </c>
      <c r="H237" s="20">
        <f>1</f>
        <v>1</v>
      </c>
      <c r="I237" s="20">
        <f>1</f>
        <v>1</v>
      </c>
      <c r="J237" s="20">
        <f>1</f>
        <v>1</v>
      </c>
      <c r="K237" s="20">
        <f>1</f>
        <v>1</v>
      </c>
      <c r="L237" s="20">
        <f>1</f>
        <v>1</v>
      </c>
      <c r="M237" s="20">
        <f>1</f>
        <v>1</v>
      </c>
      <c r="N237" s="20">
        <f>1</f>
        <v>1</v>
      </c>
      <c r="O237" s="20">
        <f>1</f>
        <v>1</v>
      </c>
      <c r="P237" s="20">
        <f>1</f>
        <v>1</v>
      </c>
      <c r="Q237" s="20">
        <f>1</f>
        <v>1</v>
      </c>
    </row>
    <row r="238" spans="1:17" s="202" customFormat="1" x14ac:dyDescent="0.25">
      <c r="A238" s="205" t="s">
        <v>34</v>
      </c>
      <c r="B238" s="306" t="s">
        <v>35</v>
      </c>
      <c r="C238" s="306"/>
      <c r="D238" s="20"/>
      <c r="E238" s="20"/>
      <c r="F238" s="20"/>
      <c r="G238" s="45"/>
      <c r="H238" s="45"/>
      <c r="I238" s="45"/>
      <c r="J238" s="20"/>
      <c r="K238" s="20"/>
      <c r="L238" s="20"/>
      <c r="M238" s="20"/>
      <c r="N238" s="20"/>
      <c r="O238" s="20"/>
      <c r="P238" s="20"/>
      <c r="Q238" s="20"/>
    </row>
    <row r="239" spans="1:17" s="202" customFormat="1" x14ac:dyDescent="0.25">
      <c r="A239" s="205" t="s">
        <v>484</v>
      </c>
      <c r="B239" s="33" t="s">
        <v>485</v>
      </c>
      <c r="C239" s="33" t="s">
        <v>295</v>
      </c>
      <c r="D239" s="20">
        <f>20</f>
        <v>20</v>
      </c>
      <c r="E239" s="20">
        <f>20</f>
        <v>20</v>
      </c>
      <c r="F239" s="20">
        <f>20</f>
        <v>20</v>
      </c>
      <c r="G239" s="20">
        <f>20</f>
        <v>20</v>
      </c>
      <c r="H239" s="20">
        <f>20</f>
        <v>20</v>
      </c>
      <c r="I239" s="20">
        <f>20</f>
        <v>20</v>
      </c>
      <c r="J239" s="20">
        <f>20</f>
        <v>20</v>
      </c>
      <c r="K239" s="20">
        <f>20</f>
        <v>20</v>
      </c>
      <c r="L239" s="20">
        <f>20</f>
        <v>20</v>
      </c>
      <c r="M239" s="20">
        <f>20</f>
        <v>20</v>
      </c>
      <c r="N239" s="20">
        <f>20</f>
        <v>20</v>
      </c>
      <c r="O239" s="20">
        <f>20</f>
        <v>20</v>
      </c>
      <c r="P239" s="20">
        <f>20</f>
        <v>20</v>
      </c>
      <c r="Q239" s="20">
        <f>20</f>
        <v>20</v>
      </c>
    </row>
    <row r="240" spans="1:17" x14ac:dyDescent="0.25">
      <c r="A240" s="23" t="s">
        <v>357</v>
      </c>
      <c r="B240" s="14" t="s">
        <v>358</v>
      </c>
      <c r="C240" s="14"/>
      <c r="D240" s="20"/>
      <c r="E240" s="20"/>
      <c r="F240" s="20"/>
      <c r="G240" s="45"/>
      <c r="H240" s="45"/>
      <c r="I240" s="45"/>
      <c r="J240" s="20"/>
      <c r="K240" s="20"/>
      <c r="L240" s="20"/>
      <c r="M240" s="20"/>
      <c r="N240" s="20"/>
      <c r="O240" s="20"/>
      <c r="P240" s="20"/>
      <c r="Q240" s="20"/>
    </row>
    <row r="241" spans="1:44" x14ac:dyDescent="0.25">
      <c r="A241" s="23" t="s">
        <v>371</v>
      </c>
      <c r="B241" s="14" t="s">
        <v>359</v>
      </c>
      <c r="C241" s="55" t="s">
        <v>295</v>
      </c>
      <c r="D241" s="20">
        <f>3</f>
        <v>3</v>
      </c>
      <c r="E241" s="20">
        <f>3</f>
        <v>3</v>
      </c>
      <c r="F241" s="20">
        <f>3</f>
        <v>3</v>
      </c>
      <c r="G241" s="20">
        <f>3</f>
        <v>3</v>
      </c>
      <c r="H241" s="20">
        <f>3</f>
        <v>3</v>
      </c>
      <c r="I241" s="20">
        <f>3</f>
        <v>3</v>
      </c>
      <c r="J241" s="20">
        <f>3</f>
        <v>3</v>
      </c>
      <c r="K241" s="20">
        <f>3</f>
        <v>3</v>
      </c>
      <c r="L241" s="20">
        <f>3</f>
        <v>3</v>
      </c>
      <c r="M241" s="20">
        <f>3</f>
        <v>3</v>
      </c>
      <c r="N241" s="20">
        <f>3</f>
        <v>3</v>
      </c>
      <c r="O241" s="20">
        <f>3</f>
        <v>3</v>
      </c>
      <c r="P241" s="20">
        <f>3</f>
        <v>3</v>
      </c>
      <c r="Q241" s="20">
        <f>3</f>
        <v>3</v>
      </c>
    </row>
    <row r="242" spans="1:44" x14ac:dyDescent="0.25">
      <c r="A242" s="23" t="s">
        <v>372</v>
      </c>
      <c r="B242" s="14" t="s">
        <v>361</v>
      </c>
      <c r="C242" s="55" t="s">
        <v>295</v>
      </c>
      <c r="D242" s="20">
        <f>3</f>
        <v>3</v>
      </c>
      <c r="E242" s="20">
        <f>3</f>
        <v>3</v>
      </c>
      <c r="F242" s="20">
        <f>3</f>
        <v>3</v>
      </c>
      <c r="G242" s="20">
        <f>3</f>
        <v>3</v>
      </c>
      <c r="H242" s="20">
        <f>3</f>
        <v>3</v>
      </c>
      <c r="I242" s="20">
        <f>3</f>
        <v>3</v>
      </c>
      <c r="J242" s="20">
        <f>3</f>
        <v>3</v>
      </c>
      <c r="K242" s="20">
        <f>3</f>
        <v>3</v>
      </c>
      <c r="L242" s="20">
        <f>3</f>
        <v>3</v>
      </c>
      <c r="M242" s="20">
        <f>3</f>
        <v>3</v>
      </c>
      <c r="N242" s="20">
        <f>3</f>
        <v>3</v>
      </c>
      <c r="O242" s="20">
        <f>3</f>
        <v>3</v>
      </c>
      <c r="P242" s="20">
        <f>3</f>
        <v>3</v>
      </c>
      <c r="Q242" s="20">
        <f>3</f>
        <v>3</v>
      </c>
    </row>
    <row r="243" spans="1:44" s="196" customFormat="1" x14ac:dyDescent="0.25">
      <c r="A243" s="266" t="s">
        <v>1191</v>
      </c>
      <c r="B243" s="266"/>
      <c r="C243" s="70"/>
      <c r="D243" s="64">
        <f>SUM(D210:D242)</f>
        <v>468</v>
      </c>
      <c r="E243" s="64">
        <f t="shared" ref="E243:Q243" si="42">SUM(E210:E242)</f>
        <v>523</v>
      </c>
      <c r="F243" s="64">
        <f t="shared" si="42"/>
        <v>502</v>
      </c>
      <c r="G243" s="64">
        <f t="shared" si="42"/>
        <v>507</v>
      </c>
      <c r="H243" s="64">
        <f t="shared" si="42"/>
        <v>522</v>
      </c>
      <c r="I243" s="64">
        <f t="shared" si="42"/>
        <v>533</v>
      </c>
      <c r="J243" s="64">
        <f t="shared" si="42"/>
        <v>552</v>
      </c>
      <c r="K243" s="64">
        <f t="shared" si="42"/>
        <v>565</v>
      </c>
      <c r="L243" s="64">
        <f t="shared" si="42"/>
        <v>583</v>
      </c>
      <c r="M243" s="64">
        <f t="shared" si="42"/>
        <v>602</v>
      </c>
      <c r="N243" s="64">
        <f t="shared" si="42"/>
        <v>605</v>
      </c>
      <c r="O243" s="64">
        <f t="shared" si="42"/>
        <v>618</v>
      </c>
      <c r="P243" s="64">
        <f t="shared" si="42"/>
        <v>633</v>
      </c>
      <c r="Q243" s="64">
        <f t="shared" si="42"/>
        <v>645</v>
      </c>
    </row>
    <row r="244" spans="1:44" x14ac:dyDescent="0.25">
      <c r="A244" s="257" t="s">
        <v>15</v>
      </c>
      <c r="B244" s="258"/>
      <c r="C244" s="259"/>
      <c r="D244" s="20"/>
      <c r="E244" s="20"/>
      <c r="F244" s="20"/>
      <c r="G244" s="45"/>
      <c r="H244" s="45"/>
      <c r="I244" s="45"/>
      <c r="J244" s="20"/>
      <c r="K244" s="20"/>
      <c r="L244" s="20"/>
      <c r="M244" s="20"/>
      <c r="N244" s="20"/>
      <c r="O244" s="20"/>
      <c r="P244" s="20"/>
      <c r="Q244" s="20"/>
    </row>
    <row r="245" spans="1:44" s="193" customFormat="1" x14ac:dyDescent="0.25">
      <c r="A245" s="14" t="s">
        <v>16</v>
      </c>
      <c r="B245" s="14" t="s">
        <v>17</v>
      </c>
      <c r="C245" s="14"/>
      <c r="D245" s="20"/>
      <c r="E245" s="20"/>
      <c r="F245" s="20"/>
      <c r="G245" s="45"/>
      <c r="H245" s="45"/>
      <c r="I245" s="45"/>
      <c r="J245" s="20"/>
      <c r="K245" s="20"/>
      <c r="L245" s="20"/>
      <c r="M245" s="20"/>
      <c r="N245" s="20"/>
      <c r="O245" s="20"/>
      <c r="P245" s="20"/>
      <c r="Q245" s="20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</row>
    <row r="246" spans="1:44" s="193" customFormat="1" x14ac:dyDescent="0.25">
      <c r="A246" s="14" t="s">
        <v>1084</v>
      </c>
      <c r="B246" s="14" t="s">
        <v>1085</v>
      </c>
      <c r="C246" s="14" t="s">
        <v>295</v>
      </c>
      <c r="D246" s="20">
        <f>14</f>
        <v>14</v>
      </c>
      <c r="E246" s="20">
        <f>10</f>
        <v>10</v>
      </c>
      <c r="F246" s="20">
        <f>9</f>
        <v>9</v>
      </c>
      <c r="G246" s="45">
        <f>14</f>
        <v>14</v>
      </c>
      <c r="H246" s="45">
        <f>16</f>
        <v>16</v>
      </c>
      <c r="I246" s="45">
        <f>9</f>
        <v>9</v>
      </c>
      <c r="J246" s="20">
        <f>13</f>
        <v>13</v>
      </c>
      <c r="K246" s="20">
        <f>13</f>
        <v>13</v>
      </c>
      <c r="L246" s="20">
        <f>10</f>
        <v>10</v>
      </c>
      <c r="M246" s="20">
        <f>12</f>
        <v>12</v>
      </c>
      <c r="N246" s="20">
        <f>15</f>
        <v>15</v>
      </c>
      <c r="O246" s="20">
        <f>18</f>
        <v>18</v>
      </c>
      <c r="P246" s="20">
        <f>15</f>
        <v>15</v>
      </c>
      <c r="Q246" s="20">
        <f>18</f>
        <v>18</v>
      </c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</row>
    <row r="247" spans="1:44" s="193" customFormat="1" x14ac:dyDescent="0.25">
      <c r="A247" s="14" t="s">
        <v>1086</v>
      </c>
      <c r="B247" s="14" t="s">
        <v>41</v>
      </c>
      <c r="C247" s="14" t="s">
        <v>295</v>
      </c>
      <c r="D247" s="20">
        <f>10</f>
        <v>10</v>
      </c>
      <c r="E247" s="20">
        <f>10</f>
        <v>10</v>
      </c>
      <c r="F247" s="45">
        <f>14</f>
        <v>14</v>
      </c>
      <c r="G247" s="45">
        <f>14</f>
        <v>14</v>
      </c>
      <c r="H247" s="45">
        <f>11</f>
        <v>11</v>
      </c>
      <c r="I247" s="45">
        <f>17</f>
        <v>17</v>
      </c>
      <c r="J247" s="20">
        <f>13</f>
        <v>13</v>
      </c>
      <c r="K247" s="45">
        <f>9</f>
        <v>9</v>
      </c>
      <c r="L247" s="45">
        <f>16</f>
        <v>16</v>
      </c>
      <c r="M247" s="20">
        <f>20</f>
        <v>20</v>
      </c>
      <c r="N247" s="20">
        <f>23</f>
        <v>23</v>
      </c>
      <c r="O247" s="20">
        <f>25</f>
        <v>25</v>
      </c>
      <c r="P247" s="20">
        <f>30</f>
        <v>30</v>
      </c>
      <c r="Q247" s="20">
        <f>28</f>
        <v>28</v>
      </c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</row>
    <row r="248" spans="1:44" x14ac:dyDescent="0.25">
      <c r="A248" s="14" t="s">
        <v>294</v>
      </c>
      <c r="B248" s="14" t="s">
        <v>280</v>
      </c>
      <c r="C248" s="14" t="s">
        <v>295</v>
      </c>
      <c r="D248" s="20">
        <f>20</f>
        <v>20</v>
      </c>
      <c r="E248" s="20">
        <f>20</f>
        <v>20</v>
      </c>
      <c r="F248" s="20">
        <f>20</f>
        <v>20</v>
      </c>
      <c r="G248" s="20">
        <f>20</f>
        <v>20</v>
      </c>
      <c r="H248" s="20">
        <f>20</f>
        <v>20</v>
      </c>
      <c r="I248" s="20">
        <f>20</f>
        <v>20</v>
      </c>
      <c r="J248" s="20">
        <f>20</f>
        <v>20</v>
      </c>
      <c r="K248" s="20">
        <f>20</f>
        <v>20</v>
      </c>
      <c r="L248" s="20">
        <f>20</f>
        <v>20</v>
      </c>
      <c r="M248" s="20">
        <f>20</f>
        <v>20</v>
      </c>
      <c r="N248" s="20">
        <f>20</f>
        <v>20</v>
      </c>
      <c r="O248" s="20">
        <f>20</f>
        <v>20</v>
      </c>
      <c r="P248" s="20">
        <f>20</f>
        <v>20</v>
      </c>
      <c r="Q248" s="20">
        <f>20</f>
        <v>20</v>
      </c>
    </row>
    <row r="249" spans="1:44" x14ac:dyDescent="0.25">
      <c r="A249" s="14" t="s">
        <v>296</v>
      </c>
      <c r="B249" s="14" t="s">
        <v>297</v>
      </c>
      <c r="C249" s="14" t="s">
        <v>295</v>
      </c>
      <c r="D249" s="20">
        <f>20</f>
        <v>20</v>
      </c>
      <c r="E249" s="20">
        <f>20</f>
        <v>20</v>
      </c>
      <c r="F249" s="20">
        <f>20</f>
        <v>20</v>
      </c>
      <c r="G249" s="20">
        <f>20</f>
        <v>20</v>
      </c>
      <c r="H249" s="20">
        <f>20</f>
        <v>20</v>
      </c>
      <c r="I249" s="20">
        <f>20</f>
        <v>20</v>
      </c>
      <c r="J249" s="20">
        <f>20</f>
        <v>20</v>
      </c>
      <c r="K249" s="20">
        <f>20</f>
        <v>20</v>
      </c>
      <c r="L249" s="20">
        <f>20</f>
        <v>20</v>
      </c>
      <c r="M249" s="20">
        <f>20</f>
        <v>20</v>
      </c>
      <c r="N249" s="20">
        <f>20</f>
        <v>20</v>
      </c>
      <c r="O249" s="20">
        <f>20</f>
        <v>20</v>
      </c>
      <c r="P249" s="20">
        <f>20</f>
        <v>20</v>
      </c>
      <c r="Q249" s="20">
        <f>20</f>
        <v>20</v>
      </c>
    </row>
    <row r="250" spans="1:44" x14ac:dyDescent="0.25">
      <c r="A250" s="14" t="s">
        <v>309</v>
      </c>
      <c r="B250" s="14" t="s">
        <v>306</v>
      </c>
      <c r="C250" s="14" t="s">
        <v>295</v>
      </c>
      <c r="D250" s="20">
        <v>5</v>
      </c>
      <c r="E250" s="20">
        <v>6</v>
      </c>
      <c r="F250" s="20">
        <v>7</v>
      </c>
      <c r="G250" s="20">
        <v>8</v>
      </c>
      <c r="H250" s="20">
        <v>9</v>
      </c>
      <c r="I250" s="20">
        <v>10</v>
      </c>
      <c r="J250" s="20">
        <v>11</v>
      </c>
      <c r="K250" s="20">
        <v>12</v>
      </c>
      <c r="L250" s="20">
        <v>13</v>
      </c>
      <c r="M250" s="20">
        <v>14</v>
      </c>
      <c r="N250" s="20">
        <v>15</v>
      </c>
      <c r="O250" s="20">
        <v>16</v>
      </c>
      <c r="P250" s="20">
        <v>17</v>
      </c>
      <c r="Q250" s="20">
        <v>18</v>
      </c>
    </row>
    <row r="251" spans="1:44" x14ac:dyDescent="0.25">
      <c r="A251" s="14" t="s">
        <v>310</v>
      </c>
      <c r="B251" s="14" t="s">
        <v>308</v>
      </c>
      <c r="C251" s="14" t="s">
        <v>295</v>
      </c>
      <c r="D251" s="20">
        <v>5</v>
      </c>
      <c r="E251" s="20">
        <v>6</v>
      </c>
      <c r="F251" s="20">
        <v>7</v>
      </c>
      <c r="G251" s="20">
        <v>8</v>
      </c>
      <c r="H251" s="20">
        <v>9</v>
      </c>
      <c r="I251" s="20">
        <v>10</v>
      </c>
      <c r="J251" s="20">
        <v>11</v>
      </c>
      <c r="K251" s="20">
        <v>12</v>
      </c>
      <c r="L251" s="20">
        <v>13</v>
      </c>
      <c r="M251" s="20">
        <v>14</v>
      </c>
      <c r="N251" s="20">
        <v>15</v>
      </c>
      <c r="O251" s="20">
        <v>16</v>
      </c>
      <c r="P251" s="20">
        <v>17</v>
      </c>
      <c r="Q251" s="20">
        <v>18</v>
      </c>
    </row>
    <row r="252" spans="1:44" ht="18" customHeight="1" x14ac:dyDescent="0.25">
      <c r="A252" s="14" t="s">
        <v>278</v>
      </c>
      <c r="B252" s="14" t="s">
        <v>279</v>
      </c>
      <c r="C252" s="14" t="s">
        <v>295</v>
      </c>
      <c r="D252" s="20">
        <f>8</f>
        <v>8</v>
      </c>
      <c r="E252" s="20">
        <f>12</f>
        <v>12</v>
      </c>
      <c r="F252" s="20">
        <f>10</f>
        <v>10</v>
      </c>
      <c r="G252" s="45">
        <f>18</f>
        <v>18</v>
      </c>
      <c r="H252" s="45">
        <f>10</f>
        <v>10</v>
      </c>
      <c r="I252" s="45">
        <f>16</f>
        <v>16</v>
      </c>
      <c r="J252" s="20">
        <f>23</f>
        <v>23</v>
      </c>
      <c r="K252" s="20">
        <f>23</f>
        <v>23</v>
      </c>
      <c r="L252" s="20">
        <f>15</f>
        <v>15</v>
      </c>
      <c r="M252" s="20">
        <f>14</f>
        <v>14</v>
      </c>
      <c r="N252" s="20">
        <f>13</f>
        <v>13</v>
      </c>
      <c r="O252" s="20">
        <f>15</f>
        <v>15</v>
      </c>
      <c r="P252" s="20">
        <f>19</f>
        <v>19</v>
      </c>
      <c r="Q252" s="20">
        <f>20</f>
        <v>20</v>
      </c>
    </row>
    <row r="253" spans="1:44" s="69" customFormat="1" ht="18" customHeight="1" x14ac:dyDescent="0.25">
      <c r="A253" s="264" t="s">
        <v>1192</v>
      </c>
      <c r="B253" s="265"/>
      <c r="C253" s="68"/>
      <c r="D253" s="243">
        <f>SUM(D246:D252)</f>
        <v>82</v>
      </c>
      <c r="E253" s="243">
        <f t="shared" ref="E253:Q253" si="43">SUM(E246:E252)</f>
        <v>84</v>
      </c>
      <c r="F253" s="243">
        <f t="shared" si="43"/>
        <v>87</v>
      </c>
      <c r="G253" s="243">
        <f t="shared" si="43"/>
        <v>102</v>
      </c>
      <c r="H253" s="243">
        <f t="shared" si="43"/>
        <v>95</v>
      </c>
      <c r="I253" s="243">
        <f t="shared" si="43"/>
        <v>102</v>
      </c>
      <c r="J253" s="243">
        <f t="shared" si="43"/>
        <v>111</v>
      </c>
      <c r="K253" s="243">
        <f t="shared" si="43"/>
        <v>109</v>
      </c>
      <c r="L253" s="243">
        <f t="shared" si="43"/>
        <v>107</v>
      </c>
      <c r="M253" s="243">
        <f t="shared" si="43"/>
        <v>114</v>
      </c>
      <c r="N253" s="243">
        <f t="shared" si="43"/>
        <v>121</v>
      </c>
      <c r="O253" s="243">
        <f t="shared" si="43"/>
        <v>130</v>
      </c>
      <c r="P253" s="243">
        <f t="shared" si="43"/>
        <v>138</v>
      </c>
      <c r="Q253" s="243">
        <f t="shared" si="43"/>
        <v>142</v>
      </c>
    </row>
    <row r="254" spans="1:44" x14ac:dyDescent="0.25">
      <c r="A254" s="257" t="s">
        <v>263</v>
      </c>
      <c r="B254" s="259"/>
      <c r="C254" s="14"/>
      <c r="D254" s="20"/>
      <c r="E254" s="20"/>
      <c r="F254" s="20"/>
      <c r="G254" s="45"/>
      <c r="H254" s="45"/>
      <c r="I254" s="45"/>
      <c r="J254" s="20"/>
      <c r="K254" s="20"/>
      <c r="L254" s="20"/>
      <c r="M254" s="20"/>
      <c r="N254" s="20"/>
      <c r="O254" s="20"/>
      <c r="P254" s="20"/>
      <c r="Q254" s="20"/>
    </row>
    <row r="255" spans="1:44" x14ac:dyDescent="0.25">
      <c r="A255" s="14" t="s">
        <v>4</v>
      </c>
      <c r="B255" s="14" t="s">
        <v>23</v>
      </c>
      <c r="C255" s="14"/>
      <c r="D255" s="20"/>
      <c r="E255" s="20"/>
      <c r="F255" s="20"/>
      <c r="G255" s="45"/>
      <c r="H255" s="45"/>
      <c r="I255" s="45"/>
      <c r="J255" s="20"/>
      <c r="K255" s="20"/>
      <c r="L255" s="20"/>
      <c r="M255" s="20"/>
      <c r="N255" s="20"/>
      <c r="O255" s="20"/>
      <c r="P255" s="20"/>
      <c r="Q255" s="20"/>
    </row>
    <row r="256" spans="1:44" x14ac:dyDescent="0.25">
      <c r="A256" s="14" t="s">
        <v>264</v>
      </c>
      <c r="B256" s="14" t="s">
        <v>24</v>
      </c>
      <c r="C256" s="14" t="s">
        <v>295</v>
      </c>
      <c r="D256" s="20">
        <f>27</f>
        <v>27</v>
      </c>
      <c r="E256" s="20">
        <f>1+27</f>
        <v>28</v>
      </c>
      <c r="F256" s="20">
        <f>27</f>
        <v>27</v>
      </c>
      <c r="G256" s="20">
        <f>27</f>
        <v>27</v>
      </c>
      <c r="H256" s="45">
        <f>2+27</f>
        <v>29</v>
      </c>
      <c r="I256" s="45">
        <f>1+27</f>
        <v>28</v>
      </c>
      <c r="J256" s="20">
        <f>3+27</f>
        <v>30</v>
      </c>
      <c r="K256" s="20">
        <f>27</f>
        <v>27</v>
      </c>
      <c r="L256" s="20">
        <f>1+27</f>
        <v>28</v>
      </c>
      <c r="M256" s="20">
        <f>27</f>
        <v>27</v>
      </c>
      <c r="N256" s="20">
        <f>27</f>
        <v>27</v>
      </c>
      <c r="O256" s="20">
        <f>2+27</f>
        <v>29</v>
      </c>
      <c r="P256" s="20">
        <f>27</f>
        <v>27</v>
      </c>
      <c r="Q256" s="20">
        <f>1+27</f>
        <v>28</v>
      </c>
    </row>
    <row r="257" spans="1:17" x14ac:dyDescent="0.25">
      <c r="A257" s="14" t="s">
        <v>1172</v>
      </c>
      <c r="B257" s="14" t="s">
        <v>47</v>
      </c>
      <c r="C257" s="14" t="s">
        <v>295</v>
      </c>
      <c r="D257" s="20">
        <f>6</f>
        <v>6</v>
      </c>
      <c r="E257" s="20">
        <f>6</f>
        <v>6</v>
      </c>
      <c r="F257" s="20">
        <f>6</f>
        <v>6</v>
      </c>
      <c r="G257" s="20">
        <f>6</f>
        <v>6</v>
      </c>
      <c r="H257" s="20">
        <f>6</f>
        <v>6</v>
      </c>
      <c r="I257" s="20">
        <f>6</f>
        <v>6</v>
      </c>
      <c r="J257" s="20">
        <f>6</f>
        <v>6</v>
      </c>
      <c r="K257" s="20">
        <f>6</f>
        <v>6</v>
      </c>
      <c r="L257" s="20">
        <f>1+6</f>
        <v>7</v>
      </c>
      <c r="M257" s="20">
        <f>6</f>
        <v>6</v>
      </c>
      <c r="N257" s="20">
        <f>6</f>
        <v>6</v>
      </c>
      <c r="O257" s="20">
        <f>6</f>
        <v>6</v>
      </c>
      <c r="P257" s="20">
        <f>6</f>
        <v>6</v>
      </c>
      <c r="Q257" s="20">
        <f>6</f>
        <v>6</v>
      </c>
    </row>
    <row r="258" spans="1:17" x14ac:dyDescent="0.25">
      <c r="A258" s="14" t="s">
        <v>1071</v>
      </c>
      <c r="B258" s="14" t="s">
        <v>1072</v>
      </c>
      <c r="C258" s="14" t="s">
        <v>295</v>
      </c>
      <c r="D258" s="20"/>
      <c r="E258" s="20">
        <f>1</f>
        <v>1</v>
      </c>
      <c r="F258" s="20"/>
      <c r="G258" s="20"/>
      <c r="H258" s="20"/>
      <c r="I258" s="20">
        <f>1</f>
        <v>1</v>
      </c>
      <c r="J258" s="20"/>
      <c r="K258" s="20"/>
      <c r="L258" s="20"/>
      <c r="M258" s="20">
        <f>1</f>
        <v>1</v>
      </c>
      <c r="N258" s="20"/>
      <c r="O258" s="20"/>
      <c r="P258" s="20">
        <f>1</f>
        <v>1</v>
      </c>
      <c r="Q258" s="20"/>
    </row>
    <row r="259" spans="1:17" x14ac:dyDescent="0.25">
      <c r="A259" s="14" t="s">
        <v>3</v>
      </c>
      <c r="B259" s="14" t="s">
        <v>22</v>
      </c>
      <c r="C259" s="14"/>
      <c r="D259" s="20"/>
      <c r="E259" s="20"/>
      <c r="F259" s="20"/>
      <c r="G259" s="45"/>
      <c r="H259" s="45"/>
      <c r="I259" s="45"/>
      <c r="J259" s="20"/>
      <c r="K259" s="20"/>
      <c r="L259" s="20"/>
      <c r="M259" s="20"/>
      <c r="N259" s="20"/>
      <c r="O259" s="20"/>
      <c r="P259" s="20"/>
      <c r="Q259" s="20"/>
    </row>
    <row r="260" spans="1:17" x14ac:dyDescent="0.25">
      <c r="A260" s="14" t="s">
        <v>304</v>
      </c>
      <c r="B260" s="14" t="s">
        <v>287</v>
      </c>
      <c r="C260" s="55" t="s">
        <v>295</v>
      </c>
      <c r="D260" s="20">
        <f>10</f>
        <v>10</v>
      </c>
      <c r="E260" s="20">
        <f>10+1</f>
        <v>11</v>
      </c>
      <c r="F260" s="20">
        <f>10+1</f>
        <v>11</v>
      </c>
      <c r="G260" s="20">
        <f>10+1</f>
        <v>11</v>
      </c>
      <c r="H260" s="20">
        <f>10</f>
        <v>10</v>
      </c>
      <c r="I260" s="20">
        <f>10</f>
        <v>10</v>
      </c>
      <c r="J260" s="20">
        <f>10+1</f>
        <v>11</v>
      </c>
      <c r="K260" s="20">
        <f>10</f>
        <v>10</v>
      </c>
      <c r="L260" s="20">
        <f>10</f>
        <v>10</v>
      </c>
      <c r="M260" s="20">
        <f>10+1</f>
        <v>11</v>
      </c>
      <c r="N260" s="20">
        <f>10+1</f>
        <v>11</v>
      </c>
      <c r="O260" s="20">
        <f>10</f>
        <v>10</v>
      </c>
      <c r="P260" s="20">
        <f>10</f>
        <v>10</v>
      </c>
      <c r="Q260" s="20">
        <f>10</f>
        <v>10</v>
      </c>
    </row>
    <row r="261" spans="1:17" x14ac:dyDescent="0.25">
      <c r="A261" s="14" t="s">
        <v>37</v>
      </c>
      <c r="B261" s="14" t="s">
        <v>25</v>
      </c>
      <c r="C261" s="14"/>
      <c r="D261" s="20"/>
      <c r="E261" s="20"/>
      <c r="F261" s="20"/>
      <c r="G261" s="45"/>
      <c r="H261" s="45"/>
      <c r="I261" s="45"/>
      <c r="J261" s="20"/>
      <c r="K261" s="20"/>
      <c r="L261" s="20"/>
      <c r="M261" s="20"/>
      <c r="N261" s="20"/>
      <c r="O261" s="20"/>
      <c r="P261" s="20"/>
      <c r="Q261" s="20"/>
    </row>
    <row r="262" spans="1:17" x14ac:dyDescent="0.25">
      <c r="A262" s="14" t="s">
        <v>1189</v>
      </c>
      <c r="B262" s="14" t="s">
        <v>1147</v>
      </c>
      <c r="C262" s="14" t="s">
        <v>295</v>
      </c>
      <c r="D262" s="20"/>
      <c r="E262" s="20">
        <f>2</f>
        <v>2</v>
      </c>
      <c r="F262" s="20">
        <f>3</f>
        <v>3</v>
      </c>
      <c r="G262" s="45">
        <f>2</f>
        <v>2</v>
      </c>
      <c r="H262" s="45">
        <f>1</f>
        <v>1</v>
      </c>
      <c r="I262" s="45">
        <f>1</f>
        <v>1</v>
      </c>
      <c r="J262" s="45">
        <f>1</f>
        <v>1</v>
      </c>
      <c r="K262" s="45">
        <f>1</f>
        <v>1</v>
      </c>
      <c r="L262" s="45">
        <f>1</f>
        <v>1</v>
      </c>
      <c r="M262" s="45">
        <f>1</f>
        <v>1</v>
      </c>
      <c r="N262" s="45">
        <f>1</f>
        <v>1</v>
      </c>
      <c r="O262" s="45">
        <f>1</f>
        <v>1</v>
      </c>
      <c r="P262" s="45">
        <f>1</f>
        <v>1</v>
      </c>
      <c r="Q262" s="45">
        <f>2</f>
        <v>2</v>
      </c>
    </row>
    <row r="263" spans="1:17" x14ac:dyDescent="0.25">
      <c r="A263" s="14" t="s">
        <v>1095</v>
      </c>
      <c r="B263" s="14" t="s">
        <v>26</v>
      </c>
      <c r="C263" s="14" t="s">
        <v>295</v>
      </c>
      <c r="D263" s="20">
        <f>5</f>
        <v>5</v>
      </c>
      <c r="E263" s="20">
        <f>5+2</f>
        <v>7</v>
      </c>
      <c r="F263" s="20">
        <f>5+3</f>
        <v>8</v>
      </c>
      <c r="G263" s="45">
        <f>10+2</f>
        <v>12</v>
      </c>
      <c r="H263" s="45">
        <f>10+1</f>
        <v>11</v>
      </c>
      <c r="I263" s="45">
        <f t="shared" ref="I263:K263" si="44">10+1</f>
        <v>11</v>
      </c>
      <c r="J263" s="45">
        <f t="shared" si="44"/>
        <v>11</v>
      </c>
      <c r="K263" s="45">
        <f t="shared" si="44"/>
        <v>11</v>
      </c>
      <c r="L263" s="20">
        <f>15+1</f>
        <v>16</v>
      </c>
      <c r="M263" s="20">
        <f>15+1</f>
        <v>16</v>
      </c>
      <c r="N263" s="20">
        <f>20+1</f>
        <v>21</v>
      </c>
      <c r="O263" s="20">
        <f t="shared" ref="O263:P263" si="45">20+1</f>
        <v>21</v>
      </c>
      <c r="P263" s="20">
        <f t="shared" si="45"/>
        <v>21</v>
      </c>
      <c r="Q263" s="20">
        <f>25+1</f>
        <v>26</v>
      </c>
    </row>
    <row r="264" spans="1:17" x14ac:dyDescent="0.25">
      <c r="A264" s="14" t="s">
        <v>1096</v>
      </c>
      <c r="B264" s="14" t="s">
        <v>27</v>
      </c>
      <c r="C264" s="14" t="s">
        <v>295</v>
      </c>
      <c r="D264" s="20">
        <f>7</f>
        <v>7</v>
      </c>
      <c r="E264" s="20">
        <f>7+1</f>
        <v>8</v>
      </c>
      <c r="F264" s="20">
        <f>10+3</f>
        <v>13</v>
      </c>
      <c r="G264" s="20">
        <f>10+2</f>
        <v>12</v>
      </c>
      <c r="H264" s="45">
        <f>20+1</f>
        <v>21</v>
      </c>
      <c r="I264" s="45">
        <f>20+1</f>
        <v>21</v>
      </c>
      <c r="J264" s="20">
        <f>25+1</f>
        <v>26</v>
      </c>
      <c r="K264" s="20">
        <f>25+1</f>
        <v>26</v>
      </c>
      <c r="L264" s="20">
        <f>30+1</f>
        <v>31</v>
      </c>
      <c r="M264" s="20">
        <f t="shared" ref="M264:N264" si="46">30+1</f>
        <v>31</v>
      </c>
      <c r="N264" s="20">
        <f t="shared" si="46"/>
        <v>31</v>
      </c>
      <c r="O264" s="20">
        <f>35+1</f>
        <v>36</v>
      </c>
      <c r="P264" s="20">
        <f>35+1</f>
        <v>36</v>
      </c>
      <c r="Q264" s="20">
        <f>40+1</f>
        <v>41</v>
      </c>
    </row>
    <row r="265" spans="1:17" s="196" customFormat="1" x14ac:dyDescent="0.25">
      <c r="A265" s="266" t="s">
        <v>1193</v>
      </c>
      <c r="B265" s="266"/>
      <c r="C265" s="70"/>
      <c r="D265" s="64">
        <f>SUM(D255:D264)</f>
        <v>55</v>
      </c>
      <c r="E265" s="64">
        <f t="shared" ref="E265:Q265" si="47">SUM(E255:E264)</f>
        <v>63</v>
      </c>
      <c r="F265" s="64">
        <f t="shared" si="47"/>
        <v>68</v>
      </c>
      <c r="G265" s="64">
        <f t="shared" si="47"/>
        <v>70</v>
      </c>
      <c r="H265" s="64">
        <f t="shared" si="47"/>
        <v>78</v>
      </c>
      <c r="I265" s="64">
        <f t="shared" si="47"/>
        <v>78</v>
      </c>
      <c r="J265" s="64">
        <f t="shared" si="47"/>
        <v>85</v>
      </c>
      <c r="K265" s="64">
        <f t="shared" si="47"/>
        <v>81</v>
      </c>
      <c r="L265" s="64">
        <f t="shared" si="47"/>
        <v>93</v>
      </c>
      <c r="M265" s="64">
        <f t="shared" si="47"/>
        <v>93</v>
      </c>
      <c r="N265" s="64">
        <f t="shared" si="47"/>
        <v>97</v>
      </c>
      <c r="O265" s="64">
        <f t="shared" si="47"/>
        <v>103</v>
      </c>
      <c r="P265" s="64">
        <f t="shared" si="47"/>
        <v>102</v>
      </c>
      <c r="Q265" s="64">
        <f t="shared" si="47"/>
        <v>113</v>
      </c>
    </row>
    <row r="266" spans="1:17" x14ac:dyDescent="0.25">
      <c r="A266" s="257" t="s">
        <v>8</v>
      </c>
      <c r="B266" s="258"/>
      <c r="C266" s="259"/>
      <c r="D266" s="20"/>
      <c r="E266" s="20"/>
      <c r="F266" s="20"/>
      <c r="G266" s="45"/>
      <c r="H266" s="45"/>
      <c r="I266" s="45"/>
      <c r="J266" s="20"/>
      <c r="K266" s="20"/>
      <c r="L266" s="20"/>
      <c r="M266" s="20"/>
      <c r="N266" s="20"/>
      <c r="O266" s="20"/>
      <c r="P266" s="20"/>
      <c r="Q266" s="20"/>
    </row>
    <row r="267" spans="1:17" x14ac:dyDescent="0.25">
      <c r="A267" s="14" t="s">
        <v>9</v>
      </c>
      <c r="B267" s="14" t="s">
        <v>8</v>
      </c>
      <c r="C267" s="14"/>
      <c r="D267" s="20"/>
      <c r="E267" s="20"/>
      <c r="F267" s="20"/>
      <c r="G267" s="45"/>
      <c r="H267" s="45"/>
      <c r="I267" s="45"/>
      <c r="J267" s="20"/>
      <c r="K267" s="20"/>
      <c r="L267" s="20"/>
      <c r="M267" s="20"/>
      <c r="N267" s="20"/>
      <c r="O267" s="20"/>
      <c r="P267" s="20"/>
      <c r="Q267" s="20"/>
    </row>
    <row r="268" spans="1:17" x14ac:dyDescent="0.25">
      <c r="A268" s="14" t="s">
        <v>432</v>
      </c>
      <c r="B268" s="14" t="s">
        <v>239</v>
      </c>
      <c r="C268" s="14" t="s">
        <v>295</v>
      </c>
      <c r="D268" s="20"/>
      <c r="E268" s="20"/>
      <c r="F268" s="20"/>
      <c r="G268" s="45"/>
      <c r="H268" s="45"/>
      <c r="I268" s="45"/>
      <c r="J268" s="20"/>
      <c r="K268" s="20"/>
      <c r="L268" s="20"/>
      <c r="M268" s="20"/>
      <c r="N268" s="20"/>
      <c r="O268" s="20"/>
      <c r="P268" s="20"/>
      <c r="Q268" s="20"/>
    </row>
    <row r="269" spans="1:17" x14ac:dyDescent="0.25">
      <c r="A269" s="14" t="s">
        <v>433</v>
      </c>
      <c r="B269" s="14" t="s">
        <v>241</v>
      </c>
      <c r="C269" s="14" t="s">
        <v>295</v>
      </c>
      <c r="D269" s="20"/>
      <c r="E269" s="20">
        <f>5</f>
        <v>5</v>
      </c>
      <c r="F269" s="20">
        <f>1</f>
        <v>1</v>
      </c>
      <c r="G269" s="45">
        <f>1</f>
        <v>1</v>
      </c>
      <c r="H269" s="45">
        <f>2</f>
        <v>2</v>
      </c>
      <c r="I269" s="45">
        <f>2</f>
        <v>2</v>
      </c>
      <c r="J269" s="45">
        <f>2</f>
        <v>2</v>
      </c>
      <c r="K269" s="45">
        <f>2</f>
        <v>2</v>
      </c>
      <c r="L269" s="45">
        <f>2</f>
        <v>2</v>
      </c>
      <c r="M269" s="45">
        <f>2</f>
        <v>2</v>
      </c>
      <c r="N269" s="45">
        <f>2</f>
        <v>2</v>
      </c>
      <c r="O269" s="45">
        <f>2</f>
        <v>2</v>
      </c>
      <c r="P269" s="45">
        <f>2</f>
        <v>2</v>
      </c>
      <c r="Q269" s="20">
        <f>1</f>
        <v>1</v>
      </c>
    </row>
    <row r="270" spans="1:17" ht="17.25" customHeight="1" x14ac:dyDescent="0.25">
      <c r="A270" s="14" t="s">
        <v>434</v>
      </c>
      <c r="B270" s="14" t="s">
        <v>243</v>
      </c>
      <c r="C270" s="14" t="s">
        <v>295</v>
      </c>
      <c r="D270" s="20">
        <f>11</f>
        <v>11</v>
      </c>
      <c r="E270" s="20">
        <f>11</f>
        <v>11</v>
      </c>
      <c r="F270" s="20">
        <f>12</f>
        <v>12</v>
      </c>
      <c r="G270" s="45">
        <f>11</f>
        <v>11</v>
      </c>
      <c r="H270" s="45">
        <f>11</f>
        <v>11</v>
      </c>
      <c r="I270" s="45">
        <f>11</f>
        <v>11</v>
      </c>
      <c r="J270" s="45">
        <f>11</f>
        <v>11</v>
      </c>
      <c r="K270" s="20">
        <f>5</f>
        <v>5</v>
      </c>
      <c r="L270" s="20">
        <f>5</f>
        <v>5</v>
      </c>
      <c r="M270" s="20">
        <f>5</f>
        <v>5</v>
      </c>
      <c r="N270" s="20">
        <f>5</f>
        <v>5</v>
      </c>
      <c r="O270" s="20">
        <f>5</f>
        <v>5</v>
      </c>
      <c r="P270" s="20">
        <f>5</f>
        <v>5</v>
      </c>
      <c r="Q270" s="20">
        <f>5</f>
        <v>5</v>
      </c>
    </row>
    <row r="271" spans="1:17" x14ac:dyDescent="0.25">
      <c r="A271" s="14" t="s">
        <v>435</v>
      </c>
      <c r="B271" s="14" t="s">
        <v>436</v>
      </c>
      <c r="C271" s="14" t="s">
        <v>295</v>
      </c>
      <c r="D271" s="20"/>
      <c r="E271" s="20">
        <f>2</f>
        <v>2</v>
      </c>
      <c r="F271" s="20">
        <f>1</f>
        <v>1</v>
      </c>
      <c r="G271" s="20">
        <f>1</f>
        <v>1</v>
      </c>
      <c r="H271" s="20">
        <f>1</f>
        <v>1</v>
      </c>
      <c r="I271" s="20">
        <f>1</f>
        <v>1</v>
      </c>
      <c r="J271" s="20">
        <f>1</f>
        <v>1</v>
      </c>
      <c r="K271" s="20">
        <f>1</f>
        <v>1</v>
      </c>
      <c r="L271" s="20">
        <f>1</f>
        <v>1</v>
      </c>
      <c r="M271" s="20">
        <f>1</f>
        <v>1</v>
      </c>
      <c r="N271" s="20">
        <f>1</f>
        <v>1</v>
      </c>
      <c r="O271" s="20">
        <f>1</f>
        <v>1</v>
      </c>
      <c r="P271" s="20">
        <f>1</f>
        <v>1</v>
      </c>
      <c r="Q271" s="20">
        <f>1</f>
        <v>1</v>
      </c>
    </row>
    <row r="272" spans="1:17" s="69" customFormat="1" x14ac:dyDescent="0.25">
      <c r="A272" s="254" t="s">
        <v>1194</v>
      </c>
      <c r="B272" s="255"/>
      <c r="C272" s="66"/>
      <c r="D272" s="64">
        <f>SUM(D267:D271)</f>
        <v>11</v>
      </c>
      <c r="E272" s="64">
        <f t="shared" ref="E272:Q272" si="48">SUM(E267:E271)</f>
        <v>18</v>
      </c>
      <c r="F272" s="64">
        <f t="shared" si="48"/>
        <v>14</v>
      </c>
      <c r="G272" s="64">
        <f t="shared" si="48"/>
        <v>13</v>
      </c>
      <c r="H272" s="64">
        <f t="shared" si="48"/>
        <v>14</v>
      </c>
      <c r="I272" s="64">
        <f t="shared" si="48"/>
        <v>14</v>
      </c>
      <c r="J272" s="64">
        <f t="shared" si="48"/>
        <v>14</v>
      </c>
      <c r="K272" s="64">
        <f t="shared" si="48"/>
        <v>8</v>
      </c>
      <c r="L272" s="64">
        <f t="shared" si="48"/>
        <v>8</v>
      </c>
      <c r="M272" s="64">
        <f t="shared" si="48"/>
        <v>8</v>
      </c>
      <c r="N272" s="64">
        <f t="shared" si="48"/>
        <v>8</v>
      </c>
      <c r="O272" s="64">
        <f t="shared" si="48"/>
        <v>8</v>
      </c>
      <c r="P272" s="64">
        <f t="shared" si="48"/>
        <v>8</v>
      </c>
      <c r="Q272" s="64">
        <f t="shared" si="48"/>
        <v>7</v>
      </c>
    </row>
    <row r="273" spans="1:17" x14ac:dyDescent="0.25">
      <c r="A273" s="257" t="s">
        <v>247</v>
      </c>
      <c r="B273" s="259"/>
      <c r="C273" s="14"/>
      <c r="D273" s="20"/>
      <c r="E273" s="20"/>
      <c r="F273" s="20"/>
      <c r="G273" s="45"/>
      <c r="H273" s="45"/>
      <c r="I273" s="45"/>
      <c r="J273" s="20"/>
      <c r="K273" s="20"/>
      <c r="L273" s="20"/>
      <c r="M273" s="20"/>
      <c r="N273" s="20"/>
      <c r="O273" s="20"/>
      <c r="P273" s="20"/>
      <c r="Q273" s="20"/>
    </row>
    <row r="274" spans="1:17" x14ac:dyDescent="0.25">
      <c r="A274" s="14" t="s">
        <v>437</v>
      </c>
      <c r="B274" s="14" t="s">
        <v>438</v>
      </c>
      <c r="C274" s="14"/>
      <c r="D274" s="20"/>
      <c r="E274" s="20"/>
      <c r="F274" s="20"/>
      <c r="G274" s="45"/>
      <c r="H274" s="45"/>
      <c r="I274" s="45"/>
      <c r="J274" s="20"/>
      <c r="K274" s="20"/>
      <c r="L274" s="20"/>
      <c r="M274" s="20"/>
      <c r="N274" s="20"/>
      <c r="O274" s="20"/>
      <c r="P274" s="20"/>
      <c r="Q274" s="20"/>
    </row>
    <row r="275" spans="1:17" x14ac:dyDescent="0.25">
      <c r="A275" s="14" t="s">
        <v>439</v>
      </c>
      <c r="B275" s="14" t="s">
        <v>440</v>
      </c>
      <c r="C275" s="14" t="s">
        <v>295</v>
      </c>
      <c r="D275" s="20"/>
      <c r="E275" s="20"/>
      <c r="F275" s="20"/>
      <c r="G275" s="45"/>
      <c r="H275" s="45"/>
      <c r="I275" s="45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A276" s="14" t="s">
        <v>441</v>
      </c>
      <c r="B276" s="14" t="s">
        <v>442</v>
      </c>
      <c r="C276" s="14" t="s">
        <v>295</v>
      </c>
      <c r="D276" s="20"/>
      <c r="E276" s="20"/>
      <c r="F276" s="20"/>
      <c r="G276" s="45"/>
      <c r="H276" s="45"/>
      <c r="I276" s="45"/>
      <c r="J276" s="20"/>
      <c r="K276" s="20"/>
      <c r="L276" s="20"/>
      <c r="M276" s="20"/>
      <c r="N276" s="20"/>
      <c r="O276" s="20"/>
      <c r="P276" s="20"/>
      <c r="Q276" s="20"/>
    </row>
    <row r="277" spans="1:17" x14ac:dyDescent="0.25">
      <c r="A277" s="14" t="s">
        <v>443</v>
      </c>
      <c r="B277" s="14" t="s">
        <v>444</v>
      </c>
      <c r="C277" s="35"/>
      <c r="D277" s="20"/>
      <c r="E277" s="20"/>
      <c r="F277" s="20"/>
      <c r="G277" s="45"/>
      <c r="H277" s="45"/>
      <c r="I277" s="45"/>
      <c r="J277" s="20"/>
      <c r="K277" s="20"/>
      <c r="L277" s="20"/>
      <c r="M277" s="20"/>
      <c r="N277" s="20"/>
      <c r="O277" s="20"/>
      <c r="P277" s="20"/>
      <c r="Q277" s="20"/>
    </row>
    <row r="278" spans="1:17" x14ac:dyDescent="0.25">
      <c r="A278" s="14" t="s">
        <v>1179</v>
      </c>
      <c r="B278" s="14" t="s">
        <v>445</v>
      </c>
      <c r="C278" s="35" t="s">
        <v>295</v>
      </c>
      <c r="D278" s="20"/>
      <c r="E278" s="20"/>
      <c r="F278" s="20"/>
      <c r="G278" s="45"/>
      <c r="H278" s="45"/>
      <c r="I278" s="45"/>
      <c r="J278" s="20"/>
      <c r="K278" s="20"/>
      <c r="L278" s="20"/>
      <c r="M278" s="20"/>
      <c r="N278" s="20"/>
      <c r="O278" s="20"/>
      <c r="P278" s="20"/>
      <c r="Q278" s="20"/>
    </row>
    <row r="279" spans="1:17" x14ac:dyDescent="0.25">
      <c r="A279" s="14" t="s">
        <v>1100</v>
      </c>
      <c r="B279" s="14" t="s">
        <v>447</v>
      </c>
      <c r="C279" s="35"/>
      <c r="D279" s="20"/>
      <c r="E279" s="20"/>
      <c r="F279" s="20"/>
      <c r="G279" s="45"/>
      <c r="H279" s="45"/>
      <c r="I279" s="45"/>
      <c r="J279" s="20"/>
      <c r="K279" s="20"/>
      <c r="L279" s="20"/>
      <c r="M279" s="20"/>
      <c r="N279" s="20"/>
      <c r="O279" s="20"/>
      <c r="P279" s="20"/>
      <c r="Q279" s="20"/>
    </row>
    <row r="280" spans="1:17" x14ac:dyDescent="0.25">
      <c r="A280" s="14" t="s">
        <v>1180</v>
      </c>
      <c r="B280" s="14" t="s">
        <v>448</v>
      </c>
      <c r="C280" s="35" t="s">
        <v>295</v>
      </c>
      <c r="D280" s="20"/>
      <c r="E280" s="20"/>
      <c r="F280" s="20"/>
      <c r="G280" s="45"/>
      <c r="H280" s="45"/>
      <c r="I280" s="45"/>
      <c r="J280" s="20"/>
      <c r="K280" s="20"/>
      <c r="L280" s="20"/>
      <c r="M280" s="20"/>
      <c r="N280" s="20"/>
      <c r="O280" s="20"/>
      <c r="P280" s="20"/>
      <c r="Q280" s="20"/>
    </row>
    <row r="281" spans="1:17" x14ac:dyDescent="0.25">
      <c r="A281" s="14" t="s">
        <v>311</v>
      </c>
      <c r="B281" s="14" t="s">
        <v>312</v>
      </c>
      <c r="C281" s="14"/>
      <c r="D281" s="20"/>
      <c r="E281" s="20"/>
      <c r="F281" s="20"/>
      <c r="G281" s="45"/>
      <c r="H281" s="45"/>
      <c r="I281" s="45"/>
      <c r="J281" s="20"/>
      <c r="K281" s="20"/>
      <c r="L281" s="20"/>
      <c r="M281" s="20"/>
      <c r="N281" s="20"/>
      <c r="O281" s="20"/>
      <c r="P281" s="20"/>
      <c r="Q281" s="20"/>
    </row>
    <row r="282" spans="1:17" ht="30" x14ac:dyDescent="0.25">
      <c r="A282" s="14" t="s">
        <v>1178</v>
      </c>
      <c r="B282" s="14" t="s">
        <v>315</v>
      </c>
      <c r="C282" s="14" t="s">
        <v>295</v>
      </c>
      <c r="D282" s="20">
        <f>10</f>
        <v>10</v>
      </c>
      <c r="E282" s="20">
        <f>10</f>
        <v>10</v>
      </c>
      <c r="F282" s="20">
        <f>10</f>
        <v>10</v>
      </c>
      <c r="G282" s="20">
        <f>10</f>
        <v>10</v>
      </c>
      <c r="H282" s="20">
        <f>10</f>
        <v>10</v>
      </c>
      <c r="I282" s="20">
        <f>10</f>
        <v>10</v>
      </c>
      <c r="J282" s="20">
        <f>10</f>
        <v>10</v>
      </c>
      <c r="K282" s="20">
        <f>10</f>
        <v>10</v>
      </c>
      <c r="L282" s="20">
        <f>10</f>
        <v>10</v>
      </c>
      <c r="M282" s="20">
        <f>10</f>
        <v>10</v>
      </c>
      <c r="N282" s="20">
        <f>10</f>
        <v>10</v>
      </c>
      <c r="O282" s="20">
        <f>10</f>
        <v>10</v>
      </c>
      <c r="P282" s="20">
        <f>10</f>
        <v>10</v>
      </c>
      <c r="Q282" s="20">
        <f>10</f>
        <v>10</v>
      </c>
    </row>
    <row r="283" spans="1:17" x14ac:dyDescent="0.25">
      <c r="A283" s="14" t="s">
        <v>1181</v>
      </c>
      <c r="B283" s="14" t="s">
        <v>316</v>
      </c>
      <c r="C283" s="14" t="s">
        <v>295</v>
      </c>
      <c r="D283" s="20">
        <f>20</f>
        <v>20</v>
      </c>
      <c r="E283" s="20">
        <f>20</f>
        <v>20</v>
      </c>
      <c r="F283" s="20">
        <f>20</f>
        <v>20</v>
      </c>
      <c r="G283" s="20">
        <f>20</f>
        <v>20</v>
      </c>
      <c r="H283" s="20">
        <f>20</f>
        <v>20</v>
      </c>
      <c r="I283" s="20">
        <f>20</f>
        <v>20</v>
      </c>
      <c r="J283" s="20">
        <f>20</f>
        <v>20</v>
      </c>
      <c r="K283" s="20">
        <f>20</f>
        <v>20</v>
      </c>
      <c r="L283" s="20">
        <f>20</f>
        <v>20</v>
      </c>
      <c r="M283" s="20">
        <f>20</f>
        <v>20</v>
      </c>
      <c r="N283" s="20">
        <f>20</f>
        <v>20</v>
      </c>
      <c r="O283" s="20">
        <f>20</f>
        <v>20</v>
      </c>
      <c r="P283" s="20">
        <f>20</f>
        <v>20</v>
      </c>
      <c r="Q283" s="20">
        <f>20</f>
        <v>20</v>
      </c>
    </row>
    <row r="284" spans="1:17" s="69" customFormat="1" x14ac:dyDescent="0.25">
      <c r="A284" s="254" t="s">
        <v>1195</v>
      </c>
      <c r="B284" s="255"/>
      <c r="C284" s="66"/>
      <c r="D284" s="64">
        <f>SUM(D274:D283)</f>
        <v>30</v>
      </c>
      <c r="E284" s="64">
        <f t="shared" ref="E284:Q284" si="49">SUM(E274:E283)</f>
        <v>30</v>
      </c>
      <c r="F284" s="64">
        <f t="shared" si="49"/>
        <v>30</v>
      </c>
      <c r="G284" s="64">
        <f t="shared" si="49"/>
        <v>30</v>
      </c>
      <c r="H284" s="64">
        <f t="shared" si="49"/>
        <v>30</v>
      </c>
      <c r="I284" s="64">
        <f t="shared" si="49"/>
        <v>30</v>
      </c>
      <c r="J284" s="64">
        <f t="shared" si="49"/>
        <v>30</v>
      </c>
      <c r="K284" s="64">
        <f t="shared" si="49"/>
        <v>30</v>
      </c>
      <c r="L284" s="64">
        <f t="shared" si="49"/>
        <v>30</v>
      </c>
      <c r="M284" s="64">
        <f t="shared" si="49"/>
        <v>30</v>
      </c>
      <c r="N284" s="64">
        <f t="shared" si="49"/>
        <v>30</v>
      </c>
      <c r="O284" s="64">
        <f t="shared" si="49"/>
        <v>30</v>
      </c>
      <c r="P284" s="64">
        <f t="shared" si="49"/>
        <v>30</v>
      </c>
      <c r="Q284" s="64">
        <f t="shared" si="49"/>
        <v>30</v>
      </c>
    </row>
    <row r="285" spans="1:17" ht="24" customHeight="1" x14ac:dyDescent="0.25">
      <c r="A285" s="257" t="s">
        <v>38</v>
      </c>
      <c r="B285" s="259"/>
      <c r="C285" s="14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</row>
    <row r="286" spans="1:17" x14ac:dyDescent="0.25">
      <c r="A286" s="14" t="s">
        <v>265</v>
      </c>
      <c r="B286" s="14" t="s">
        <v>266</v>
      </c>
      <c r="C286" s="14"/>
      <c r="D286" s="20"/>
      <c r="E286" s="20"/>
      <c r="F286" s="20"/>
      <c r="G286" s="45"/>
      <c r="H286" s="45"/>
      <c r="I286" s="45"/>
      <c r="J286" s="20"/>
      <c r="K286" s="20"/>
      <c r="L286" s="20"/>
      <c r="M286" s="20"/>
      <c r="N286" s="20"/>
      <c r="O286" s="20"/>
      <c r="P286" s="20"/>
      <c r="Q286" s="20"/>
    </row>
    <row r="287" spans="1:17" x14ac:dyDescent="0.25">
      <c r="A287" s="14" t="s">
        <v>1152</v>
      </c>
      <c r="B287" s="14" t="s">
        <v>547</v>
      </c>
      <c r="C287" s="14" t="s">
        <v>295</v>
      </c>
      <c r="D287" s="20">
        <f>1</f>
        <v>1</v>
      </c>
      <c r="E287" s="20">
        <f>1</f>
        <v>1</v>
      </c>
      <c r="F287" s="20">
        <f>1</f>
        <v>1</v>
      </c>
      <c r="G287" s="20">
        <f>1</f>
        <v>1</v>
      </c>
      <c r="H287" s="20">
        <f>1</f>
        <v>1</v>
      </c>
      <c r="I287" s="20">
        <f>1</f>
        <v>1</v>
      </c>
      <c r="J287" s="20">
        <f>1</f>
        <v>1</v>
      </c>
      <c r="K287" s="20">
        <f>1</f>
        <v>1</v>
      </c>
      <c r="L287" s="20">
        <f>1</f>
        <v>1</v>
      </c>
      <c r="M287" s="20">
        <f>1</f>
        <v>1</v>
      </c>
      <c r="N287" s="20">
        <f>1</f>
        <v>1</v>
      </c>
      <c r="O287" s="20">
        <f>1</f>
        <v>1</v>
      </c>
      <c r="P287" s="20">
        <f>1</f>
        <v>1</v>
      </c>
      <c r="Q287" s="20">
        <f>1</f>
        <v>1</v>
      </c>
    </row>
    <row r="288" spans="1:17" x14ac:dyDescent="0.25">
      <c r="A288" s="14" t="s">
        <v>1153</v>
      </c>
      <c r="B288" s="14" t="s">
        <v>494</v>
      </c>
      <c r="C288" s="14" t="s">
        <v>295</v>
      </c>
      <c r="D288" s="20">
        <f>1</f>
        <v>1</v>
      </c>
      <c r="E288" s="20">
        <f>1</f>
        <v>1</v>
      </c>
      <c r="F288" s="20">
        <f>1</f>
        <v>1</v>
      </c>
      <c r="G288" s="20">
        <f>1</f>
        <v>1</v>
      </c>
      <c r="H288" s="20">
        <f>1</f>
        <v>1</v>
      </c>
      <c r="I288" s="20">
        <f>1</f>
        <v>1</v>
      </c>
      <c r="J288" s="20">
        <f>1</f>
        <v>1</v>
      </c>
      <c r="K288" s="20">
        <f>1</f>
        <v>1</v>
      </c>
      <c r="L288" s="20">
        <f>1</f>
        <v>1</v>
      </c>
      <c r="M288" s="20">
        <f>1</f>
        <v>1</v>
      </c>
      <c r="N288" s="20">
        <f>1</f>
        <v>1</v>
      </c>
      <c r="O288" s="20">
        <f>1</f>
        <v>1</v>
      </c>
      <c r="P288" s="20">
        <f>1</f>
        <v>1</v>
      </c>
      <c r="Q288" s="20">
        <f>1</f>
        <v>1</v>
      </c>
    </row>
    <row r="289" spans="1:17" x14ac:dyDescent="0.25">
      <c r="A289" s="14" t="s">
        <v>1154</v>
      </c>
      <c r="B289" s="14" t="s">
        <v>268</v>
      </c>
      <c r="C289" s="14" t="s">
        <v>295</v>
      </c>
      <c r="D289" s="20">
        <f>1</f>
        <v>1</v>
      </c>
      <c r="E289" s="20">
        <f>1</f>
        <v>1</v>
      </c>
      <c r="F289" s="20">
        <f>1</f>
        <v>1</v>
      </c>
      <c r="G289" s="20">
        <f>1</f>
        <v>1</v>
      </c>
      <c r="H289" s="20">
        <f>1</f>
        <v>1</v>
      </c>
      <c r="I289" s="20">
        <f>1</f>
        <v>1</v>
      </c>
      <c r="J289" s="20">
        <f>1</f>
        <v>1</v>
      </c>
      <c r="K289" s="20">
        <f>1</f>
        <v>1</v>
      </c>
      <c r="L289" s="20">
        <f>1</f>
        <v>1</v>
      </c>
      <c r="M289" s="20">
        <f>1</f>
        <v>1</v>
      </c>
      <c r="N289" s="20">
        <f>1</f>
        <v>1</v>
      </c>
      <c r="O289" s="20">
        <f>1</f>
        <v>1</v>
      </c>
      <c r="P289" s="20">
        <f>1</f>
        <v>1</v>
      </c>
      <c r="Q289" s="20">
        <f>1</f>
        <v>1</v>
      </c>
    </row>
    <row r="290" spans="1:17" ht="30" x14ac:dyDescent="0.25">
      <c r="A290" s="14" t="s">
        <v>39</v>
      </c>
      <c r="B290" s="14" t="s">
        <v>40</v>
      </c>
      <c r="C290" s="14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</row>
    <row r="291" spans="1:17" x14ac:dyDescent="0.25">
      <c r="A291" s="14" t="s">
        <v>1155</v>
      </c>
      <c r="B291" s="14" t="s">
        <v>496</v>
      </c>
      <c r="C291" s="14" t="s">
        <v>295</v>
      </c>
      <c r="D291" s="20">
        <f>1</f>
        <v>1</v>
      </c>
      <c r="E291" s="20">
        <f>1</f>
        <v>1</v>
      </c>
      <c r="F291" s="20">
        <f>1</f>
        <v>1</v>
      </c>
      <c r="G291" s="20">
        <f>1</f>
        <v>1</v>
      </c>
      <c r="H291" s="20">
        <f>1</f>
        <v>1</v>
      </c>
      <c r="I291" s="20">
        <f>1</f>
        <v>1</v>
      </c>
      <c r="J291" s="20">
        <f>1</f>
        <v>1</v>
      </c>
      <c r="K291" s="20">
        <f>1</f>
        <v>1</v>
      </c>
      <c r="L291" s="20">
        <f>1</f>
        <v>1</v>
      </c>
      <c r="M291" s="20">
        <f>1</f>
        <v>1</v>
      </c>
      <c r="N291" s="20">
        <f>1</f>
        <v>1</v>
      </c>
      <c r="O291" s="20">
        <f>1</f>
        <v>1</v>
      </c>
      <c r="P291" s="20">
        <f>1</f>
        <v>1</v>
      </c>
      <c r="Q291" s="20">
        <f>1</f>
        <v>1</v>
      </c>
    </row>
    <row r="292" spans="1:17" x14ac:dyDescent="0.25">
      <c r="A292" s="14" t="s">
        <v>1156</v>
      </c>
      <c r="B292" s="14" t="s">
        <v>498</v>
      </c>
      <c r="C292" s="14" t="s">
        <v>295</v>
      </c>
      <c r="D292" s="20">
        <f>1</f>
        <v>1</v>
      </c>
      <c r="E292" s="20">
        <f>1</f>
        <v>1</v>
      </c>
      <c r="F292" s="20">
        <f>1</f>
        <v>1</v>
      </c>
      <c r="G292" s="20">
        <f>1</f>
        <v>1</v>
      </c>
      <c r="H292" s="20">
        <f>1</f>
        <v>1</v>
      </c>
      <c r="I292" s="20">
        <f>1</f>
        <v>1</v>
      </c>
      <c r="J292" s="20">
        <f>1</f>
        <v>1</v>
      </c>
      <c r="K292" s="20">
        <f>1</f>
        <v>1</v>
      </c>
      <c r="L292" s="20">
        <f>1</f>
        <v>1</v>
      </c>
      <c r="M292" s="20">
        <f>1</f>
        <v>1</v>
      </c>
      <c r="N292" s="20">
        <f>1</f>
        <v>1</v>
      </c>
      <c r="O292" s="20">
        <f>1</f>
        <v>1</v>
      </c>
      <c r="P292" s="20">
        <f>1</f>
        <v>1</v>
      </c>
      <c r="Q292" s="20">
        <f>1</f>
        <v>1</v>
      </c>
    </row>
    <row r="293" spans="1:17" x14ac:dyDescent="0.25">
      <c r="A293" s="14" t="s">
        <v>1157</v>
      </c>
      <c r="B293" s="14" t="s">
        <v>500</v>
      </c>
      <c r="C293" s="14" t="s">
        <v>295</v>
      </c>
      <c r="D293" s="20">
        <f>1</f>
        <v>1</v>
      </c>
      <c r="E293" s="20">
        <f>1</f>
        <v>1</v>
      </c>
      <c r="F293" s="20">
        <f>1</f>
        <v>1</v>
      </c>
      <c r="G293" s="20">
        <f>1</f>
        <v>1</v>
      </c>
      <c r="H293" s="20">
        <f>1</f>
        <v>1</v>
      </c>
      <c r="I293" s="20">
        <f>1</f>
        <v>1</v>
      </c>
      <c r="J293" s="20">
        <f>1</f>
        <v>1</v>
      </c>
      <c r="K293" s="20">
        <f>1</f>
        <v>1</v>
      </c>
      <c r="L293" s="20">
        <f>1</f>
        <v>1</v>
      </c>
      <c r="M293" s="20">
        <f>1</f>
        <v>1</v>
      </c>
      <c r="N293" s="20">
        <f>1</f>
        <v>1</v>
      </c>
      <c r="O293" s="20">
        <f>1</f>
        <v>1</v>
      </c>
      <c r="P293" s="20">
        <f>1</f>
        <v>1</v>
      </c>
      <c r="Q293" s="20">
        <f>1</f>
        <v>1</v>
      </c>
    </row>
    <row r="294" spans="1:17" ht="26.25" customHeight="1" x14ac:dyDescent="0.25">
      <c r="A294" s="14" t="s">
        <v>227</v>
      </c>
      <c r="B294" s="14" t="s">
        <v>210</v>
      </c>
      <c r="C294" s="14" t="s">
        <v>295</v>
      </c>
      <c r="D294" s="20">
        <f>1+3</f>
        <v>4</v>
      </c>
      <c r="E294" s="20">
        <f t="shared" ref="E294:Q294" si="50">1+3</f>
        <v>4</v>
      </c>
      <c r="F294" s="20">
        <f t="shared" si="50"/>
        <v>4</v>
      </c>
      <c r="G294" s="20">
        <f t="shared" si="50"/>
        <v>4</v>
      </c>
      <c r="H294" s="20">
        <f t="shared" si="50"/>
        <v>4</v>
      </c>
      <c r="I294" s="20">
        <f t="shared" si="50"/>
        <v>4</v>
      </c>
      <c r="J294" s="20">
        <f t="shared" si="50"/>
        <v>4</v>
      </c>
      <c r="K294" s="20">
        <f t="shared" si="50"/>
        <v>4</v>
      </c>
      <c r="L294" s="20">
        <f t="shared" si="50"/>
        <v>4</v>
      </c>
      <c r="M294" s="20">
        <f t="shared" si="50"/>
        <v>4</v>
      </c>
      <c r="N294" s="20">
        <f t="shared" si="50"/>
        <v>4</v>
      </c>
      <c r="O294" s="20">
        <f t="shared" si="50"/>
        <v>4</v>
      </c>
      <c r="P294" s="20">
        <f t="shared" si="50"/>
        <v>4</v>
      </c>
      <c r="Q294" s="20">
        <f t="shared" si="50"/>
        <v>4</v>
      </c>
    </row>
    <row r="295" spans="1:17" ht="30" x14ac:dyDescent="0.25">
      <c r="A295" s="14" t="s">
        <v>548</v>
      </c>
      <c r="B295" s="14" t="s">
        <v>270</v>
      </c>
      <c r="C295" s="14" t="s">
        <v>295</v>
      </c>
      <c r="D295" s="20">
        <f>1</f>
        <v>1</v>
      </c>
      <c r="E295" s="20">
        <f>1</f>
        <v>1</v>
      </c>
      <c r="F295" s="20">
        <f>1</f>
        <v>1</v>
      </c>
      <c r="G295" s="20">
        <f>1</f>
        <v>1</v>
      </c>
      <c r="H295" s="20">
        <f>1</f>
        <v>1</v>
      </c>
      <c r="I295" s="20">
        <f>1</f>
        <v>1</v>
      </c>
      <c r="J295" s="20">
        <f>1</f>
        <v>1</v>
      </c>
      <c r="K295" s="20">
        <f>1</f>
        <v>1</v>
      </c>
      <c r="L295" s="20">
        <f>1</f>
        <v>1</v>
      </c>
      <c r="M295" s="20">
        <f>1</f>
        <v>1</v>
      </c>
      <c r="N295" s="20">
        <f>1</f>
        <v>1</v>
      </c>
      <c r="O295" s="20">
        <f>1</f>
        <v>1</v>
      </c>
      <c r="P295" s="20">
        <f>1</f>
        <v>1</v>
      </c>
      <c r="Q295" s="20">
        <f>1</f>
        <v>1</v>
      </c>
    </row>
    <row r="296" spans="1:17" ht="18" customHeight="1" x14ac:dyDescent="0.25">
      <c r="A296" s="54" t="s">
        <v>549</v>
      </c>
      <c r="B296" s="14" t="s">
        <v>169</v>
      </c>
      <c r="C296" s="35" t="s">
        <v>295</v>
      </c>
      <c r="D296" s="20">
        <f>1</f>
        <v>1</v>
      </c>
      <c r="E296" s="20">
        <f>1</f>
        <v>1</v>
      </c>
      <c r="F296" s="20">
        <f>1</f>
        <v>1</v>
      </c>
      <c r="G296" s="20">
        <f>1</f>
        <v>1</v>
      </c>
      <c r="H296" s="20">
        <f>1</f>
        <v>1</v>
      </c>
      <c r="I296" s="20">
        <f>1</f>
        <v>1</v>
      </c>
      <c r="J296" s="20">
        <f>1</f>
        <v>1</v>
      </c>
      <c r="K296" s="20">
        <f>1</f>
        <v>1</v>
      </c>
      <c r="L296" s="20">
        <f>1</f>
        <v>1</v>
      </c>
      <c r="M296" s="20">
        <f>1</f>
        <v>1</v>
      </c>
      <c r="N296" s="20">
        <f>1</f>
        <v>1</v>
      </c>
      <c r="O296" s="20">
        <f>1</f>
        <v>1</v>
      </c>
      <c r="P296" s="20">
        <f>1</f>
        <v>1</v>
      </c>
      <c r="Q296" s="20">
        <f>1</f>
        <v>1</v>
      </c>
    </row>
    <row r="297" spans="1:17" ht="18.75" customHeight="1" x14ac:dyDescent="0.25">
      <c r="A297" s="14" t="s">
        <v>550</v>
      </c>
      <c r="B297" s="270" t="s">
        <v>116</v>
      </c>
      <c r="C297" s="271"/>
      <c r="D297" s="20"/>
      <c r="E297" s="20"/>
      <c r="F297" s="20"/>
      <c r="G297" s="45"/>
      <c r="H297" s="45"/>
      <c r="I297" s="45"/>
      <c r="J297" s="20"/>
      <c r="K297" s="20"/>
      <c r="L297" s="20"/>
      <c r="M297" s="20"/>
      <c r="N297" s="20"/>
      <c r="O297" s="20"/>
      <c r="P297" s="20"/>
      <c r="Q297" s="20"/>
    </row>
    <row r="298" spans="1:17" x14ac:dyDescent="0.25">
      <c r="A298" s="14" t="s">
        <v>551</v>
      </c>
      <c r="B298" s="14" t="s">
        <v>97</v>
      </c>
      <c r="C298" s="14" t="s">
        <v>295</v>
      </c>
      <c r="D298" s="20">
        <f>1</f>
        <v>1</v>
      </c>
      <c r="E298" s="20">
        <f>1</f>
        <v>1</v>
      </c>
      <c r="F298" s="20">
        <f>1</f>
        <v>1</v>
      </c>
      <c r="G298" s="20">
        <f>1</f>
        <v>1</v>
      </c>
      <c r="H298" s="20">
        <f>1</f>
        <v>1</v>
      </c>
      <c r="I298" s="20">
        <f>1</f>
        <v>1</v>
      </c>
      <c r="J298" s="20">
        <f>1</f>
        <v>1</v>
      </c>
      <c r="K298" s="20">
        <f>1</f>
        <v>1</v>
      </c>
      <c r="L298" s="20">
        <f>1</f>
        <v>1</v>
      </c>
      <c r="M298" s="20">
        <f>1</f>
        <v>1</v>
      </c>
      <c r="N298" s="20">
        <f>1</f>
        <v>1</v>
      </c>
      <c r="O298" s="20">
        <f>1</f>
        <v>1</v>
      </c>
      <c r="P298" s="20">
        <f>1</f>
        <v>1</v>
      </c>
      <c r="Q298" s="20">
        <f>1</f>
        <v>1</v>
      </c>
    </row>
    <row r="299" spans="1:17" x14ac:dyDescent="0.25">
      <c r="A299" s="14" t="s">
        <v>552</v>
      </c>
      <c r="B299" s="14" t="s">
        <v>504</v>
      </c>
      <c r="C299" s="14" t="s">
        <v>295</v>
      </c>
      <c r="D299" s="20">
        <f>1</f>
        <v>1</v>
      </c>
      <c r="E299" s="20">
        <f>1</f>
        <v>1</v>
      </c>
      <c r="F299" s="20">
        <f>1</f>
        <v>1</v>
      </c>
      <c r="G299" s="20">
        <f>1</f>
        <v>1</v>
      </c>
      <c r="H299" s="20">
        <f>1</f>
        <v>1</v>
      </c>
      <c r="I299" s="20">
        <f>1</f>
        <v>1</v>
      </c>
      <c r="J299" s="20">
        <f>1</f>
        <v>1</v>
      </c>
      <c r="K299" s="20">
        <f>1</f>
        <v>1</v>
      </c>
      <c r="L299" s="20">
        <f>1</f>
        <v>1</v>
      </c>
      <c r="M299" s="20">
        <f>1</f>
        <v>1</v>
      </c>
      <c r="N299" s="20">
        <f>1</f>
        <v>1</v>
      </c>
      <c r="O299" s="20">
        <f>1</f>
        <v>1</v>
      </c>
      <c r="P299" s="20">
        <f>1</f>
        <v>1</v>
      </c>
      <c r="Q299" s="20">
        <f>1</f>
        <v>1</v>
      </c>
    </row>
    <row r="300" spans="1:17" x14ac:dyDescent="0.25">
      <c r="A300" s="14" t="s">
        <v>553</v>
      </c>
      <c r="B300" s="14" t="s">
        <v>554</v>
      </c>
      <c r="C300" s="14" t="s">
        <v>295</v>
      </c>
      <c r="D300" s="20">
        <f>1</f>
        <v>1</v>
      </c>
      <c r="E300" s="20">
        <f>1</f>
        <v>1</v>
      </c>
      <c r="F300" s="20">
        <f>1</f>
        <v>1</v>
      </c>
      <c r="G300" s="20">
        <f>1</f>
        <v>1</v>
      </c>
      <c r="H300" s="20">
        <f>1</f>
        <v>1</v>
      </c>
      <c r="I300" s="20">
        <f>1</f>
        <v>1</v>
      </c>
      <c r="J300" s="20">
        <f>1</f>
        <v>1</v>
      </c>
      <c r="K300" s="20">
        <f>1</f>
        <v>1</v>
      </c>
      <c r="L300" s="20">
        <f>1</f>
        <v>1</v>
      </c>
      <c r="M300" s="20">
        <f>1</f>
        <v>1</v>
      </c>
      <c r="N300" s="20">
        <f>1</f>
        <v>1</v>
      </c>
      <c r="O300" s="20">
        <f>1</f>
        <v>1</v>
      </c>
      <c r="P300" s="20">
        <f>1</f>
        <v>1</v>
      </c>
      <c r="Q300" s="20">
        <f>1</f>
        <v>1</v>
      </c>
    </row>
    <row r="301" spans="1:17" x14ac:dyDescent="0.25">
      <c r="A301" s="14" t="s">
        <v>11</v>
      </c>
      <c r="B301" s="14" t="s">
        <v>12</v>
      </c>
      <c r="C301" s="14"/>
      <c r="D301" s="20"/>
      <c r="E301" s="20"/>
      <c r="F301" s="20"/>
      <c r="G301" s="45"/>
      <c r="H301" s="45"/>
      <c r="I301" s="45"/>
      <c r="J301" s="20"/>
      <c r="K301" s="20"/>
      <c r="L301" s="20"/>
      <c r="M301" s="20"/>
      <c r="N301" s="20"/>
      <c r="O301" s="20"/>
      <c r="P301" s="20"/>
      <c r="Q301" s="20"/>
    </row>
    <row r="302" spans="1:17" ht="15" customHeight="1" x14ac:dyDescent="0.25">
      <c r="A302" s="58" t="s">
        <v>555</v>
      </c>
      <c r="B302" s="58" t="s">
        <v>154</v>
      </c>
      <c r="C302" s="58" t="s">
        <v>295</v>
      </c>
      <c r="D302" s="20">
        <f>1</f>
        <v>1</v>
      </c>
      <c r="E302" s="20">
        <f>1</f>
        <v>1</v>
      </c>
      <c r="F302" s="20">
        <f>1</f>
        <v>1</v>
      </c>
      <c r="G302" s="20">
        <f>1</f>
        <v>1</v>
      </c>
      <c r="H302" s="20">
        <f>1</f>
        <v>1</v>
      </c>
      <c r="I302" s="20">
        <f>1</f>
        <v>1</v>
      </c>
      <c r="J302" s="20">
        <f>1</f>
        <v>1</v>
      </c>
      <c r="K302" s="20">
        <f>1</f>
        <v>1</v>
      </c>
      <c r="L302" s="20">
        <f>1</f>
        <v>1</v>
      </c>
      <c r="M302" s="20">
        <f>1</f>
        <v>1</v>
      </c>
      <c r="N302" s="20">
        <f>1</f>
        <v>1</v>
      </c>
      <c r="O302" s="20">
        <f>1</f>
        <v>1</v>
      </c>
      <c r="P302" s="20">
        <f>1</f>
        <v>1</v>
      </c>
      <c r="Q302" s="20">
        <f>1</f>
        <v>1</v>
      </c>
    </row>
    <row r="303" spans="1:17" ht="12" customHeight="1" x14ac:dyDescent="0.25">
      <c r="A303" s="58" t="s">
        <v>556</v>
      </c>
      <c r="B303" s="58" t="s">
        <v>98</v>
      </c>
      <c r="C303" s="58" t="s">
        <v>295</v>
      </c>
      <c r="D303" s="20">
        <f>1</f>
        <v>1</v>
      </c>
      <c r="E303" s="20">
        <f>1</f>
        <v>1</v>
      </c>
      <c r="F303" s="20">
        <f>1</f>
        <v>1</v>
      </c>
      <c r="G303" s="20">
        <f>1</f>
        <v>1</v>
      </c>
      <c r="H303" s="20">
        <f>1</f>
        <v>1</v>
      </c>
      <c r="I303" s="20">
        <f>1</f>
        <v>1</v>
      </c>
      <c r="J303" s="20">
        <f>1</f>
        <v>1</v>
      </c>
      <c r="K303" s="20">
        <f>1</f>
        <v>1</v>
      </c>
      <c r="L303" s="20">
        <f>1</f>
        <v>1</v>
      </c>
      <c r="M303" s="20">
        <f>1</f>
        <v>1</v>
      </c>
      <c r="N303" s="20">
        <f>1</f>
        <v>1</v>
      </c>
      <c r="O303" s="20">
        <f>1</f>
        <v>1</v>
      </c>
      <c r="P303" s="20">
        <f>1</f>
        <v>1</v>
      </c>
      <c r="Q303" s="20">
        <f>1</f>
        <v>1</v>
      </c>
    </row>
    <row r="304" spans="1:17" x14ac:dyDescent="0.25">
      <c r="A304" s="58" t="s">
        <v>557</v>
      </c>
      <c r="B304" s="58" t="s">
        <v>127</v>
      </c>
      <c r="C304" s="58" t="s">
        <v>295</v>
      </c>
      <c r="D304" s="20">
        <f>1</f>
        <v>1</v>
      </c>
      <c r="E304" s="20">
        <f>1</f>
        <v>1</v>
      </c>
      <c r="F304" s="20">
        <f>1</f>
        <v>1</v>
      </c>
      <c r="G304" s="20">
        <f>1</f>
        <v>1</v>
      </c>
      <c r="H304" s="20">
        <f>1</f>
        <v>1</v>
      </c>
      <c r="I304" s="20">
        <f>1</f>
        <v>1</v>
      </c>
      <c r="J304" s="20">
        <f>1</f>
        <v>1</v>
      </c>
      <c r="K304" s="20">
        <f>1</f>
        <v>1</v>
      </c>
      <c r="L304" s="20">
        <f>1</f>
        <v>1</v>
      </c>
      <c r="M304" s="20">
        <f>1</f>
        <v>1</v>
      </c>
      <c r="N304" s="20">
        <f>1</f>
        <v>1</v>
      </c>
      <c r="O304" s="20">
        <f>1</f>
        <v>1</v>
      </c>
      <c r="P304" s="20">
        <f>1</f>
        <v>1</v>
      </c>
      <c r="Q304" s="20">
        <f>1</f>
        <v>1</v>
      </c>
    </row>
    <row r="305" spans="1:44" x14ac:dyDescent="0.25">
      <c r="A305" s="58" t="s">
        <v>558</v>
      </c>
      <c r="B305" s="58" t="s">
        <v>128</v>
      </c>
      <c r="C305" s="58" t="s">
        <v>295</v>
      </c>
      <c r="D305" s="20">
        <f>1</f>
        <v>1</v>
      </c>
      <c r="E305" s="20">
        <f>1</f>
        <v>1</v>
      </c>
      <c r="F305" s="20">
        <f>1</f>
        <v>1</v>
      </c>
      <c r="G305" s="20">
        <f>1</f>
        <v>1</v>
      </c>
      <c r="H305" s="20">
        <f>1</f>
        <v>1</v>
      </c>
      <c r="I305" s="20">
        <f>1</f>
        <v>1</v>
      </c>
      <c r="J305" s="20">
        <f>1</f>
        <v>1</v>
      </c>
      <c r="K305" s="20">
        <f>1</f>
        <v>1</v>
      </c>
      <c r="L305" s="20">
        <f>1</f>
        <v>1</v>
      </c>
      <c r="M305" s="20">
        <f>1</f>
        <v>1</v>
      </c>
      <c r="N305" s="20">
        <f>1</f>
        <v>1</v>
      </c>
      <c r="O305" s="20">
        <f>1</f>
        <v>1</v>
      </c>
      <c r="P305" s="20">
        <f>1</f>
        <v>1</v>
      </c>
      <c r="Q305" s="20">
        <f>1</f>
        <v>1</v>
      </c>
    </row>
    <row r="306" spans="1:44" ht="14.25" customHeight="1" x14ac:dyDescent="0.25">
      <c r="A306" s="58" t="s">
        <v>559</v>
      </c>
      <c r="B306" s="58" t="s">
        <v>560</v>
      </c>
      <c r="C306" s="58" t="s">
        <v>295</v>
      </c>
      <c r="D306" s="20">
        <f>1</f>
        <v>1</v>
      </c>
      <c r="E306" s="20">
        <f>1</f>
        <v>1</v>
      </c>
      <c r="F306" s="20">
        <f>1</f>
        <v>1</v>
      </c>
      <c r="G306" s="20">
        <f>1</f>
        <v>1</v>
      </c>
      <c r="H306" s="20">
        <f>1</f>
        <v>1</v>
      </c>
      <c r="I306" s="20">
        <f>1</f>
        <v>1</v>
      </c>
      <c r="J306" s="20">
        <f>1</f>
        <v>1</v>
      </c>
      <c r="K306" s="20">
        <f>1</f>
        <v>1</v>
      </c>
      <c r="L306" s="20">
        <f>1</f>
        <v>1</v>
      </c>
      <c r="M306" s="20">
        <f>1</f>
        <v>1</v>
      </c>
      <c r="N306" s="20">
        <f>1</f>
        <v>1</v>
      </c>
      <c r="O306" s="20">
        <f>1</f>
        <v>1</v>
      </c>
      <c r="P306" s="20">
        <f>1</f>
        <v>1</v>
      </c>
      <c r="Q306" s="20">
        <f>1</f>
        <v>1</v>
      </c>
    </row>
    <row r="307" spans="1:44" x14ac:dyDescent="0.25">
      <c r="A307" s="58" t="s">
        <v>561</v>
      </c>
      <c r="B307" s="58" t="s">
        <v>483</v>
      </c>
      <c r="C307" s="58" t="s">
        <v>295</v>
      </c>
      <c r="D307" s="20">
        <f>1</f>
        <v>1</v>
      </c>
      <c r="E307" s="20">
        <f>1</f>
        <v>1</v>
      </c>
      <c r="F307" s="20">
        <f>1</f>
        <v>1</v>
      </c>
      <c r="G307" s="20">
        <f>1</f>
        <v>1</v>
      </c>
      <c r="H307" s="20">
        <f>1</f>
        <v>1</v>
      </c>
      <c r="I307" s="20">
        <f>1</f>
        <v>1</v>
      </c>
      <c r="J307" s="20">
        <f>1</f>
        <v>1</v>
      </c>
      <c r="K307" s="20">
        <f>1</f>
        <v>1</v>
      </c>
      <c r="L307" s="20">
        <f>1</f>
        <v>1</v>
      </c>
      <c r="M307" s="20">
        <f>1</f>
        <v>1</v>
      </c>
      <c r="N307" s="20">
        <f>1</f>
        <v>1</v>
      </c>
      <c r="O307" s="20">
        <f>1</f>
        <v>1</v>
      </c>
      <c r="P307" s="20">
        <f>1</f>
        <v>1</v>
      </c>
      <c r="Q307" s="20">
        <f>1</f>
        <v>1</v>
      </c>
    </row>
    <row r="308" spans="1:44" x14ac:dyDescent="0.25">
      <c r="A308" s="58" t="s">
        <v>13</v>
      </c>
      <c r="B308" s="249" t="s">
        <v>14</v>
      </c>
      <c r="C308" s="250"/>
      <c r="D308" s="20"/>
      <c r="E308" s="20"/>
      <c r="F308" s="20"/>
      <c r="G308" s="45"/>
      <c r="H308" s="45"/>
      <c r="I308" s="45"/>
      <c r="J308" s="20"/>
      <c r="K308" s="20"/>
      <c r="L308" s="20"/>
      <c r="M308" s="20"/>
      <c r="N308" s="20"/>
      <c r="O308" s="20"/>
      <c r="P308" s="20"/>
      <c r="Q308" s="20"/>
    </row>
    <row r="309" spans="1:44" x14ac:dyDescent="0.25">
      <c r="A309" s="58" t="s">
        <v>1158</v>
      </c>
      <c r="B309" s="58" t="s">
        <v>523</v>
      </c>
      <c r="C309" s="58" t="s">
        <v>295</v>
      </c>
      <c r="D309" s="20">
        <f>1</f>
        <v>1</v>
      </c>
      <c r="E309" s="20">
        <f>1</f>
        <v>1</v>
      </c>
      <c r="F309" s="20">
        <f>1</f>
        <v>1</v>
      </c>
      <c r="G309" s="20">
        <f>1</f>
        <v>1</v>
      </c>
      <c r="H309" s="20">
        <f>1</f>
        <v>1</v>
      </c>
      <c r="I309" s="20">
        <f>1</f>
        <v>1</v>
      </c>
      <c r="J309" s="20">
        <f>1</f>
        <v>1</v>
      </c>
      <c r="K309" s="20">
        <f>1</f>
        <v>1</v>
      </c>
      <c r="L309" s="20">
        <f>1</f>
        <v>1</v>
      </c>
      <c r="M309" s="20">
        <f>1</f>
        <v>1</v>
      </c>
      <c r="N309" s="20">
        <f>1</f>
        <v>1</v>
      </c>
      <c r="O309" s="20">
        <f>1</f>
        <v>1</v>
      </c>
      <c r="P309" s="20">
        <f>1</f>
        <v>1</v>
      </c>
      <c r="Q309" s="20">
        <f>1</f>
        <v>1</v>
      </c>
    </row>
    <row r="310" spans="1:44" ht="30" x14ac:dyDescent="0.25">
      <c r="A310" s="58" t="s">
        <v>1159</v>
      </c>
      <c r="B310" s="58" t="s">
        <v>525</v>
      </c>
      <c r="C310" s="58" t="s">
        <v>295</v>
      </c>
      <c r="D310" s="20">
        <f>1</f>
        <v>1</v>
      </c>
      <c r="E310" s="20">
        <f>1</f>
        <v>1</v>
      </c>
      <c r="F310" s="20">
        <f>1</f>
        <v>1</v>
      </c>
      <c r="G310" s="20">
        <f>1</f>
        <v>1</v>
      </c>
      <c r="H310" s="20">
        <f>1</f>
        <v>1</v>
      </c>
      <c r="I310" s="20">
        <f>1</f>
        <v>1</v>
      </c>
      <c r="J310" s="20">
        <f>1</f>
        <v>1</v>
      </c>
      <c r="K310" s="20">
        <f>1</f>
        <v>1</v>
      </c>
      <c r="L310" s="20">
        <f>1</f>
        <v>1</v>
      </c>
      <c r="M310" s="20">
        <f>1</f>
        <v>1</v>
      </c>
      <c r="N310" s="20">
        <f>1</f>
        <v>1</v>
      </c>
      <c r="O310" s="20">
        <f>1</f>
        <v>1</v>
      </c>
      <c r="P310" s="20">
        <f>1</f>
        <v>1</v>
      </c>
      <c r="Q310" s="20">
        <f>1</f>
        <v>1</v>
      </c>
    </row>
    <row r="311" spans="1:44" ht="14.25" customHeight="1" x14ac:dyDescent="0.25">
      <c r="A311" s="58" t="s">
        <v>1160</v>
      </c>
      <c r="B311" s="58" t="s">
        <v>366</v>
      </c>
      <c r="C311" s="58" t="s">
        <v>295</v>
      </c>
      <c r="D311" s="20">
        <f>1</f>
        <v>1</v>
      </c>
      <c r="E311" s="20">
        <f>1</f>
        <v>1</v>
      </c>
      <c r="F311" s="20">
        <f>1</f>
        <v>1</v>
      </c>
      <c r="G311" s="20">
        <f>1</f>
        <v>1</v>
      </c>
      <c r="H311" s="20">
        <f>1</f>
        <v>1</v>
      </c>
      <c r="I311" s="20">
        <f>1</f>
        <v>1</v>
      </c>
      <c r="J311" s="20">
        <f>1</f>
        <v>1</v>
      </c>
      <c r="K311" s="20">
        <f>1</f>
        <v>1</v>
      </c>
      <c r="L311" s="20">
        <f>1</f>
        <v>1</v>
      </c>
      <c r="M311" s="20">
        <f>1</f>
        <v>1</v>
      </c>
      <c r="N311" s="20">
        <f>1</f>
        <v>1</v>
      </c>
      <c r="O311" s="20">
        <f>1</f>
        <v>1</v>
      </c>
      <c r="P311" s="20">
        <f>1</f>
        <v>1</v>
      </c>
      <c r="Q311" s="20">
        <f>1</f>
        <v>1</v>
      </c>
    </row>
    <row r="312" spans="1:44" x14ac:dyDescent="0.25">
      <c r="A312" s="58" t="s">
        <v>1161</v>
      </c>
      <c r="B312" s="58" t="s">
        <v>272</v>
      </c>
      <c r="C312" s="58" t="s">
        <v>295</v>
      </c>
      <c r="D312" s="20">
        <f>1+1</f>
        <v>2</v>
      </c>
      <c r="E312" s="20">
        <f t="shared" ref="E312:Q312" si="51">1+1</f>
        <v>2</v>
      </c>
      <c r="F312" s="20">
        <f t="shared" si="51"/>
        <v>2</v>
      </c>
      <c r="G312" s="20">
        <f t="shared" si="51"/>
        <v>2</v>
      </c>
      <c r="H312" s="20">
        <f t="shared" si="51"/>
        <v>2</v>
      </c>
      <c r="I312" s="20">
        <f t="shared" si="51"/>
        <v>2</v>
      </c>
      <c r="J312" s="20">
        <f t="shared" si="51"/>
        <v>2</v>
      </c>
      <c r="K312" s="20">
        <f t="shared" si="51"/>
        <v>2</v>
      </c>
      <c r="L312" s="20">
        <f t="shared" si="51"/>
        <v>2</v>
      </c>
      <c r="M312" s="20">
        <f t="shared" si="51"/>
        <v>2</v>
      </c>
      <c r="N312" s="20">
        <f t="shared" si="51"/>
        <v>2</v>
      </c>
      <c r="O312" s="20">
        <f t="shared" si="51"/>
        <v>2</v>
      </c>
      <c r="P312" s="20">
        <f t="shared" si="51"/>
        <v>2</v>
      </c>
      <c r="Q312" s="20">
        <f t="shared" si="51"/>
        <v>2</v>
      </c>
    </row>
    <row r="313" spans="1:44" x14ac:dyDescent="0.25">
      <c r="A313" s="58" t="s">
        <v>1162</v>
      </c>
      <c r="B313" s="58" t="s">
        <v>527</v>
      </c>
      <c r="C313" s="58" t="s">
        <v>295</v>
      </c>
      <c r="D313" s="20">
        <f>1</f>
        <v>1</v>
      </c>
      <c r="E313" s="20">
        <f>1</f>
        <v>1</v>
      </c>
      <c r="F313" s="20">
        <f>1</f>
        <v>1</v>
      </c>
      <c r="G313" s="20">
        <f>1</f>
        <v>1</v>
      </c>
      <c r="H313" s="20">
        <f>1</f>
        <v>1</v>
      </c>
      <c r="I313" s="20">
        <f>1</f>
        <v>1</v>
      </c>
      <c r="J313" s="20">
        <f>1</f>
        <v>1</v>
      </c>
      <c r="K313" s="20">
        <f>1</f>
        <v>1</v>
      </c>
      <c r="L313" s="20">
        <f>1</f>
        <v>1</v>
      </c>
      <c r="M313" s="20">
        <f>1</f>
        <v>1</v>
      </c>
      <c r="N313" s="20">
        <f>1</f>
        <v>1</v>
      </c>
      <c r="O313" s="20">
        <f>1</f>
        <v>1</v>
      </c>
      <c r="P313" s="20">
        <f>1</f>
        <v>1</v>
      </c>
      <c r="Q313" s="20">
        <f>1</f>
        <v>1</v>
      </c>
    </row>
    <row r="314" spans="1:44" s="69" customFormat="1" x14ac:dyDescent="0.25">
      <c r="A314" s="278" t="s">
        <v>1196</v>
      </c>
      <c r="B314" s="279"/>
      <c r="C314" s="206"/>
      <c r="D314" s="64">
        <f>SUM(D286:D313)</f>
        <v>27</v>
      </c>
      <c r="E314" s="64">
        <f t="shared" ref="E314:Q314" si="52">SUM(E286:E313)</f>
        <v>27</v>
      </c>
      <c r="F314" s="64">
        <f t="shared" si="52"/>
        <v>27</v>
      </c>
      <c r="G314" s="64">
        <f t="shared" si="52"/>
        <v>27</v>
      </c>
      <c r="H314" s="64">
        <f t="shared" si="52"/>
        <v>27</v>
      </c>
      <c r="I314" s="64">
        <f t="shared" si="52"/>
        <v>27</v>
      </c>
      <c r="J314" s="64">
        <f t="shared" si="52"/>
        <v>27</v>
      </c>
      <c r="K314" s="64">
        <f t="shared" si="52"/>
        <v>27</v>
      </c>
      <c r="L314" s="64">
        <f t="shared" si="52"/>
        <v>27</v>
      </c>
      <c r="M314" s="64">
        <f t="shared" si="52"/>
        <v>27</v>
      </c>
      <c r="N314" s="64">
        <f t="shared" si="52"/>
        <v>27</v>
      </c>
      <c r="O314" s="64">
        <f>SUM(O287:O313)</f>
        <v>27</v>
      </c>
      <c r="P314" s="64">
        <f t="shared" si="52"/>
        <v>27</v>
      </c>
      <c r="Q314" s="64">
        <f t="shared" si="52"/>
        <v>27</v>
      </c>
    </row>
    <row r="315" spans="1:44" s="209" customFormat="1" ht="15.75" x14ac:dyDescent="0.25">
      <c r="A315" s="273" t="s">
        <v>1198</v>
      </c>
      <c r="B315" s="281"/>
      <c r="C315" s="207"/>
      <c r="D315" s="182">
        <f>D314+D284+D272+D265+D253+D243+D208</f>
        <v>697</v>
      </c>
      <c r="E315" s="182">
        <f t="shared" ref="E315:Q315" si="53">E314+E284+E272+E265+E253+E243+E208</f>
        <v>779</v>
      </c>
      <c r="F315" s="182">
        <f t="shared" si="53"/>
        <v>746</v>
      </c>
      <c r="G315" s="182">
        <f t="shared" si="53"/>
        <v>765</v>
      </c>
      <c r="H315" s="182">
        <f t="shared" si="53"/>
        <v>783</v>
      </c>
      <c r="I315" s="182">
        <f t="shared" si="53"/>
        <v>802</v>
      </c>
      <c r="J315" s="182">
        <f t="shared" si="53"/>
        <v>834</v>
      </c>
      <c r="K315" s="182">
        <f t="shared" si="53"/>
        <v>837</v>
      </c>
      <c r="L315" s="182">
        <f t="shared" si="53"/>
        <v>864</v>
      </c>
      <c r="M315" s="182">
        <f t="shared" si="53"/>
        <v>891</v>
      </c>
      <c r="N315" s="182">
        <f t="shared" si="53"/>
        <v>908</v>
      </c>
      <c r="O315" s="182">
        <f t="shared" si="53"/>
        <v>933</v>
      </c>
      <c r="P315" s="182">
        <f t="shared" si="53"/>
        <v>955</v>
      </c>
      <c r="Q315" s="182">
        <f t="shared" si="53"/>
        <v>983</v>
      </c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</row>
    <row r="316" spans="1:44" s="202" customFormat="1" x14ac:dyDescent="0.25">
      <c r="A316" s="254" t="s">
        <v>94</v>
      </c>
      <c r="B316" s="269"/>
      <c r="C316" s="255"/>
      <c r="D316" s="20"/>
      <c r="E316" s="20"/>
      <c r="F316" s="20"/>
      <c r="G316" s="45"/>
      <c r="H316" s="45"/>
      <c r="I316" s="45"/>
      <c r="J316" s="20"/>
      <c r="K316" s="20"/>
      <c r="L316" s="20"/>
      <c r="M316" s="20"/>
      <c r="N316" s="20"/>
      <c r="O316" s="20"/>
      <c r="P316" s="20"/>
      <c r="Q316" s="20"/>
      <c r="R316" s="186"/>
      <c r="S316" s="186"/>
      <c r="T316" s="186"/>
      <c r="U316" s="186"/>
      <c r="V316" s="186"/>
      <c r="W316" s="186"/>
      <c r="X316" s="186"/>
      <c r="Y316" s="186"/>
      <c r="Z316" s="186"/>
      <c r="AA316" s="186"/>
      <c r="AB316" s="186"/>
      <c r="AC316" s="186"/>
      <c r="AD316" s="186"/>
      <c r="AE316" s="186"/>
      <c r="AF316" s="186"/>
      <c r="AG316" s="186"/>
      <c r="AH316" s="186"/>
      <c r="AI316" s="186"/>
      <c r="AJ316" s="186"/>
      <c r="AK316" s="186"/>
      <c r="AL316" s="186"/>
      <c r="AM316" s="186"/>
      <c r="AN316" s="186"/>
      <c r="AO316" s="186"/>
      <c r="AP316" s="186"/>
      <c r="AQ316" s="186"/>
      <c r="AR316" s="186"/>
    </row>
    <row r="317" spans="1:44" s="202" customFormat="1" x14ac:dyDescent="0.25">
      <c r="A317" s="254" t="s">
        <v>317</v>
      </c>
      <c r="B317" s="269"/>
      <c r="C317" s="66"/>
      <c r="D317" s="20"/>
      <c r="E317" s="20"/>
      <c r="F317" s="20"/>
      <c r="G317" s="45"/>
      <c r="H317" s="45"/>
      <c r="I317" s="45"/>
      <c r="J317" s="20"/>
      <c r="K317" s="20"/>
      <c r="L317" s="20"/>
      <c r="M317" s="20"/>
      <c r="N317" s="20"/>
      <c r="O317" s="20"/>
      <c r="P317" s="20"/>
      <c r="Q317" s="20"/>
      <c r="R317" s="186"/>
      <c r="S317" s="186"/>
      <c r="T317" s="186"/>
      <c r="U317" s="186"/>
      <c r="V317" s="186"/>
      <c r="W317" s="186"/>
      <c r="X317" s="186"/>
      <c r="Y317" s="186"/>
      <c r="Z317" s="186"/>
      <c r="AA317" s="186"/>
      <c r="AB317" s="186"/>
      <c r="AC317" s="186"/>
      <c r="AD317" s="186"/>
      <c r="AE317" s="186"/>
      <c r="AF317" s="186"/>
      <c r="AG317" s="186"/>
      <c r="AH317" s="186"/>
      <c r="AI317" s="186"/>
      <c r="AJ317" s="186"/>
      <c r="AK317" s="186"/>
      <c r="AL317" s="186"/>
      <c r="AM317" s="186"/>
      <c r="AN317" s="186"/>
      <c r="AO317" s="186"/>
      <c r="AP317" s="186"/>
      <c r="AQ317" s="186"/>
      <c r="AR317" s="186"/>
    </row>
    <row r="318" spans="1:44" s="202" customFormat="1" x14ac:dyDescent="0.25">
      <c r="A318" s="14" t="s">
        <v>394</v>
      </c>
      <c r="B318" s="14" t="s">
        <v>395</v>
      </c>
      <c r="C318" s="66"/>
      <c r="D318" s="20"/>
      <c r="E318" s="20"/>
      <c r="F318" s="20"/>
      <c r="G318" s="45"/>
      <c r="H318" s="45"/>
      <c r="I318" s="45"/>
      <c r="J318" s="20"/>
      <c r="K318" s="20"/>
      <c r="L318" s="20"/>
      <c r="M318" s="20"/>
      <c r="N318" s="20"/>
      <c r="O318" s="20"/>
      <c r="P318" s="20"/>
      <c r="Q318" s="20"/>
      <c r="R318" s="186"/>
      <c r="S318" s="186"/>
      <c r="T318" s="186"/>
      <c r="U318" s="186"/>
      <c r="V318" s="186"/>
      <c r="W318" s="186"/>
      <c r="X318" s="186"/>
      <c r="Y318" s="186"/>
      <c r="Z318" s="186"/>
      <c r="AA318" s="186"/>
      <c r="AB318" s="186"/>
      <c r="AC318" s="186"/>
      <c r="AD318" s="186"/>
      <c r="AE318" s="186"/>
      <c r="AF318" s="186"/>
      <c r="AG318" s="186"/>
      <c r="AH318" s="186"/>
      <c r="AI318" s="186"/>
      <c r="AJ318" s="186"/>
      <c r="AK318" s="186"/>
      <c r="AL318" s="186"/>
      <c r="AM318" s="186"/>
      <c r="AN318" s="186"/>
      <c r="AO318" s="186"/>
      <c r="AP318" s="186"/>
      <c r="AQ318" s="186"/>
      <c r="AR318" s="186"/>
    </row>
    <row r="319" spans="1:44" s="202" customFormat="1" x14ac:dyDescent="0.25">
      <c r="A319" s="23" t="s">
        <v>452</v>
      </c>
      <c r="B319" s="14" t="s">
        <v>449</v>
      </c>
      <c r="C319" s="14" t="s">
        <v>450</v>
      </c>
      <c r="D319" s="20"/>
      <c r="E319" s="20"/>
      <c r="F319" s="20"/>
      <c r="G319" s="45"/>
      <c r="H319" s="45"/>
      <c r="I319" s="45"/>
      <c r="J319" s="20"/>
      <c r="K319" s="20"/>
      <c r="L319" s="20"/>
      <c r="M319" s="20"/>
      <c r="N319" s="20"/>
      <c r="O319" s="20"/>
      <c r="P319" s="20"/>
      <c r="Q319" s="20"/>
      <c r="R319" s="186"/>
      <c r="S319" s="186"/>
      <c r="T319" s="186"/>
      <c r="U319" s="186"/>
      <c r="V319" s="186"/>
      <c r="W319" s="186"/>
      <c r="X319" s="186"/>
      <c r="Y319" s="186"/>
      <c r="Z319" s="186"/>
      <c r="AA319" s="186"/>
      <c r="AB319" s="186"/>
      <c r="AC319" s="186"/>
      <c r="AD319" s="186"/>
      <c r="AE319" s="186"/>
      <c r="AF319" s="186"/>
      <c r="AG319" s="186"/>
      <c r="AH319" s="186"/>
      <c r="AI319" s="186"/>
      <c r="AJ319" s="186"/>
      <c r="AK319" s="186"/>
      <c r="AL319" s="186"/>
      <c r="AM319" s="186"/>
      <c r="AN319" s="186"/>
      <c r="AO319" s="186"/>
      <c r="AP319" s="186"/>
      <c r="AQ319" s="186"/>
      <c r="AR319" s="186"/>
    </row>
    <row r="320" spans="1:44" s="202" customFormat="1" x14ac:dyDescent="0.25">
      <c r="A320" s="31" t="s">
        <v>409</v>
      </c>
      <c r="B320" s="14" t="s">
        <v>410</v>
      </c>
      <c r="C320" s="14"/>
      <c r="D320" s="20"/>
      <c r="E320" s="20"/>
      <c r="F320" s="20"/>
      <c r="G320" s="45"/>
      <c r="H320" s="45"/>
      <c r="I320" s="45"/>
      <c r="J320" s="20"/>
      <c r="K320" s="20"/>
      <c r="L320" s="20"/>
      <c r="M320" s="20"/>
      <c r="N320" s="20"/>
      <c r="O320" s="20"/>
      <c r="P320" s="20"/>
      <c r="Q320" s="20"/>
      <c r="R320" s="186"/>
      <c r="S320" s="186"/>
      <c r="T320" s="186"/>
      <c r="U320" s="186"/>
      <c r="V320" s="186"/>
      <c r="W320" s="186"/>
      <c r="X320" s="186"/>
      <c r="Y320" s="186"/>
      <c r="Z320" s="186"/>
      <c r="AA320" s="186"/>
      <c r="AB320" s="186"/>
      <c r="AC320" s="186"/>
      <c r="AD320" s="186"/>
      <c r="AE320" s="186"/>
      <c r="AF320" s="186"/>
      <c r="AG320" s="186"/>
      <c r="AH320" s="186"/>
      <c r="AI320" s="186"/>
      <c r="AJ320" s="186"/>
      <c r="AK320" s="186"/>
      <c r="AL320" s="186"/>
      <c r="AM320" s="186"/>
      <c r="AN320" s="186"/>
      <c r="AO320" s="186"/>
      <c r="AP320" s="186"/>
      <c r="AQ320" s="186"/>
      <c r="AR320" s="186"/>
    </row>
    <row r="321" spans="1:44" s="202" customFormat="1" x14ac:dyDescent="0.25">
      <c r="A321" s="23" t="s">
        <v>453</v>
      </c>
      <c r="B321" s="14" t="s">
        <v>451</v>
      </c>
      <c r="C321" s="14" t="s">
        <v>454</v>
      </c>
      <c r="D321" s="20"/>
      <c r="E321" s="20"/>
      <c r="F321" s="20"/>
      <c r="G321" s="45"/>
      <c r="H321" s="45"/>
      <c r="I321" s="45"/>
      <c r="J321" s="20"/>
      <c r="K321" s="20"/>
      <c r="L321" s="20"/>
      <c r="M321" s="20"/>
      <c r="N321" s="20"/>
      <c r="O321" s="20"/>
      <c r="P321" s="20"/>
      <c r="Q321" s="20"/>
      <c r="R321" s="186"/>
      <c r="S321" s="186"/>
      <c r="T321" s="186"/>
      <c r="U321" s="186"/>
      <c r="V321" s="186"/>
      <c r="W321" s="186"/>
      <c r="X321" s="186"/>
      <c r="Y321" s="186"/>
      <c r="Z321" s="186"/>
      <c r="AA321" s="186"/>
      <c r="AB321" s="186"/>
      <c r="AC321" s="186"/>
      <c r="AD321" s="186"/>
      <c r="AE321" s="186"/>
      <c r="AF321" s="186"/>
      <c r="AG321" s="186"/>
      <c r="AH321" s="186"/>
      <c r="AI321" s="186"/>
      <c r="AJ321" s="186"/>
      <c r="AK321" s="186"/>
      <c r="AL321" s="186"/>
      <c r="AM321" s="186"/>
      <c r="AN321" s="186"/>
      <c r="AO321" s="186"/>
      <c r="AP321" s="186"/>
      <c r="AQ321" s="186"/>
      <c r="AR321" s="186"/>
    </row>
    <row r="322" spans="1:44" s="202" customFormat="1" ht="30" x14ac:dyDescent="0.25">
      <c r="A322" s="23" t="s">
        <v>455</v>
      </c>
      <c r="B322" s="14" t="s">
        <v>456</v>
      </c>
      <c r="C322" s="14" t="s">
        <v>457</v>
      </c>
      <c r="D322" s="20"/>
      <c r="E322" s="20"/>
      <c r="F322" s="20"/>
      <c r="G322" s="45"/>
      <c r="H322" s="45"/>
      <c r="I322" s="45"/>
      <c r="J322" s="20"/>
      <c r="K322" s="20"/>
      <c r="L322" s="20"/>
      <c r="M322" s="20"/>
      <c r="N322" s="20"/>
      <c r="O322" s="20"/>
      <c r="P322" s="20"/>
      <c r="Q322" s="20"/>
      <c r="R322" s="186"/>
      <c r="S322" s="186"/>
      <c r="T322" s="186"/>
      <c r="U322" s="186"/>
      <c r="V322" s="186"/>
      <c r="W322" s="186"/>
      <c r="X322" s="186"/>
      <c r="Y322" s="186"/>
      <c r="Z322" s="186"/>
      <c r="AA322" s="186"/>
      <c r="AB322" s="186"/>
      <c r="AC322" s="186"/>
      <c r="AD322" s="186"/>
      <c r="AE322" s="186"/>
      <c r="AF322" s="186"/>
      <c r="AG322" s="186"/>
      <c r="AH322" s="186"/>
      <c r="AI322" s="186"/>
      <c r="AJ322" s="186"/>
      <c r="AK322" s="186"/>
      <c r="AL322" s="186"/>
      <c r="AM322" s="186"/>
      <c r="AN322" s="186"/>
      <c r="AO322" s="186"/>
      <c r="AP322" s="186"/>
      <c r="AQ322" s="186"/>
      <c r="AR322" s="186"/>
    </row>
    <row r="323" spans="1:44" s="202" customFormat="1" x14ac:dyDescent="0.25">
      <c r="A323" s="14" t="s">
        <v>318</v>
      </c>
      <c r="B323" s="14" t="s">
        <v>319</v>
      </c>
      <c r="C323" s="14"/>
      <c r="D323" s="20"/>
      <c r="E323" s="20"/>
      <c r="F323" s="20"/>
      <c r="G323" s="45"/>
      <c r="H323" s="45"/>
      <c r="I323" s="45"/>
      <c r="J323" s="20"/>
      <c r="K323" s="20"/>
      <c r="L323" s="20"/>
      <c r="M323" s="20"/>
      <c r="N323" s="20"/>
      <c r="O323" s="20"/>
      <c r="P323" s="20"/>
      <c r="Q323" s="20"/>
      <c r="R323" s="186"/>
      <c r="S323" s="186"/>
      <c r="T323" s="186"/>
      <c r="U323" s="186"/>
      <c r="V323" s="186"/>
      <c r="W323" s="186"/>
      <c r="X323" s="186"/>
      <c r="Y323" s="186"/>
      <c r="Z323" s="186"/>
      <c r="AA323" s="186"/>
      <c r="AB323" s="186"/>
      <c r="AC323" s="186"/>
      <c r="AD323" s="186"/>
      <c r="AE323" s="186"/>
      <c r="AF323" s="186"/>
      <c r="AG323" s="186"/>
      <c r="AH323" s="186"/>
      <c r="AI323" s="186"/>
      <c r="AJ323" s="186"/>
      <c r="AK323" s="186"/>
      <c r="AL323" s="186"/>
      <c r="AM323" s="186"/>
      <c r="AN323" s="186"/>
      <c r="AO323" s="186"/>
      <c r="AP323" s="186"/>
      <c r="AQ323" s="186"/>
      <c r="AR323" s="186"/>
    </row>
    <row r="324" spans="1:44" s="202" customFormat="1" ht="29.25" customHeight="1" x14ac:dyDescent="0.25">
      <c r="A324" s="23" t="s">
        <v>458</v>
      </c>
      <c r="B324" s="23" t="s">
        <v>459</v>
      </c>
      <c r="C324" s="23" t="s">
        <v>1099</v>
      </c>
      <c r="D324" s="20"/>
      <c r="E324" s="20"/>
      <c r="F324" s="20"/>
      <c r="G324" s="45"/>
      <c r="H324" s="45"/>
      <c r="I324" s="45"/>
      <c r="J324" s="20"/>
      <c r="K324" s="20"/>
      <c r="L324" s="20"/>
      <c r="M324" s="20"/>
      <c r="N324" s="20"/>
      <c r="O324" s="20"/>
      <c r="P324" s="20"/>
      <c r="Q324" s="20"/>
      <c r="R324" s="186"/>
      <c r="S324" s="186"/>
      <c r="T324" s="186"/>
      <c r="U324" s="186"/>
      <c r="V324" s="186"/>
      <c r="W324" s="186"/>
      <c r="X324" s="186"/>
      <c r="Y324" s="186"/>
      <c r="Z324" s="186"/>
      <c r="AA324" s="186"/>
      <c r="AB324" s="186"/>
      <c r="AC324" s="186"/>
      <c r="AD324" s="186"/>
      <c r="AE324" s="186"/>
      <c r="AF324" s="186"/>
      <c r="AG324" s="186"/>
      <c r="AH324" s="186"/>
      <c r="AI324" s="186"/>
      <c r="AJ324" s="186"/>
      <c r="AK324" s="186"/>
      <c r="AL324" s="186"/>
      <c r="AM324" s="186"/>
      <c r="AN324" s="186"/>
      <c r="AO324" s="186"/>
      <c r="AP324" s="186"/>
      <c r="AQ324" s="186"/>
      <c r="AR324" s="186"/>
    </row>
    <row r="325" spans="1:44" s="211" customFormat="1" ht="29.25" customHeight="1" x14ac:dyDescent="0.25">
      <c r="A325" s="260" t="s">
        <v>1190</v>
      </c>
      <c r="B325" s="260"/>
      <c r="C325" s="210"/>
      <c r="D325" s="64">
        <f>0</f>
        <v>0</v>
      </c>
      <c r="E325" s="64">
        <f>0</f>
        <v>0</v>
      </c>
      <c r="F325" s="64">
        <f>0</f>
        <v>0</v>
      </c>
      <c r="G325" s="64">
        <f>0</f>
        <v>0</v>
      </c>
      <c r="H325" s="64">
        <f>0</f>
        <v>0</v>
      </c>
      <c r="I325" s="64">
        <f>0</f>
        <v>0</v>
      </c>
      <c r="J325" s="64">
        <f>0</f>
        <v>0</v>
      </c>
      <c r="K325" s="64">
        <f>0</f>
        <v>0</v>
      </c>
      <c r="L325" s="64">
        <f>0</f>
        <v>0</v>
      </c>
      <c r="M325" s="64">
        <f>0</f>
        <v>0</v>
      </c>
      <c r="N325" s="64">
        <f>0</f>
        <v>0</v>
      </c>
      <c r="O325" s="64">
        <f>0</f>
        <v>0</v>
      </c>
      <c r="P325" s="64">
        <f>0</f>
        <v>0</v>
      </c>
      <c r="Q325" s="64">
        <f>0</f>
        <v>0</v>
      </c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</row>
    <row r="326" spans="1:44" s="202" customFormat="1" ht="29.25" customHeight="1" x14ac:dyDescent="0.25">
      <c r="A326" s="257" t="s">
        <v>10</v>
      </c>
      <c r="B326" s="258"/>
      <c r="C326" s="259"/>
      <c r="D326" s="20"/>
      <c r="E326" s="20"/>
      <c r="F326" s="20"/>
      <c r="G326" s="45"/>
      <c r="H326" s="45"/>
      <c r="I326" s="45"/>
      <c r="J326" s="20"/>
      <c r="K326" s="20"/>
      <c r="L326" s="20"/>
      <c r="M326" s="20"/>
      <c r="N326" s="20"/>
      <c r="O326" s="20"/>
      <c r="P326" s="20"/>
      <c r="Q326" s="20"/>
      <c r="R326" s="186"/>
      <c r="S326" s="186"/>
      <c r="T326" s="186"/>
      <c r="U326" s="186"/>
      <c r="V326" s="186"/>
      <c r="W326" s="186"/>
      <c r="X326" s="186"/>
      <c r="Y326" s="186"/>
      <c r="Z326" s="186"/>
      <c r="AA326" s="186"/>
      <c r="AB326" s="186"/>
      <c r="AC326" s="186"/>
      <c r="AD326" s="186"/>
      <c r="AE326" s="186"/>
      <c r="AF326" s="186"/>
      <c r="AG326" s="186"/>
      <c r="AH326" s="186"/>
      <c r="AI326" s="186"/>
      <c r="AJ326" s="186"/>
      <c r="AK326" s="186"/>
      <c r="AL326" s="186"/>
      <c r="AM326" s="186"/>
      <c r="AN326" s="186"/>
      <c r="AO326" s="186"/>
      <c r="AP326" s="186"/>
      <c r="AQ326" s="186"/>
      <c r="AR326" s="186"/>
    </row>
    <row r="327" spans="1:44" s="202" customFormat="1" ht="15" customHeight="1" x14ac:dyDescent="0.25">
      <c r="A327" s="23" t="s">
        <v>28</v>
      </c>
      <c r="B327" s="212" t="s">
        <v>29</v>
      </c>
      <c r="C327" s="23"/>
      <c r="D327" s="20"/>
      <c r="E327" s="20"/>
      <c r="F327" s="20"/>
      <c r="G327" s="45"/>
      <c r="H327" s="45"/>
      <c r="I327" s="45"/>
      <c r="J327" s="20"/>
      <c r="K327" s="20"/>
      <c r="L327" s="20"/>
      <c r="M327" s="20"/>
      <c r="N327" s="20"/>
      <c r="O327" s="20"/>
      <c r="P327" s="20"/>
      <c r="Q327" s="20"/>
      <c r="R327" s="186"/>
      <c r="S327" s="186"/>
      <c r="T327" s="186"/>
      <c r="U327" s="186"/>
      <c r="V327" s="186"/>
      <c r="W327" s="186"/>
      <c r="X327" s="186"/>
      <c r="Y327" s="186"/>
      <c r="Z327" s="186"/>
      <c r="AA327" s="186"/>
      <c r="AB327" s="186"/>
      <c r="AC327" s="186"/>
      <c r="AD327" s="186"/>
      <c r="AE327" s="186"/>
      <c r="AF327" s="186"/>
      <c r="AG327" s="186"/>
      <c r="AH327" s="186"/>
      <c r="AI327" s="186"/>
      <c r="AJ327" s="186"/>
      <c r="AK327" s="186"/>
      <c r="AL327" s="186"/>
      <c r="AM327" s="186"/>
      <c r="AN327" s="186"/>
      <c r="AO327" s="186"/>
      <c r="AP327" s="186"/>
      <c r="AQ327" s="186"/>
      <c r="AR327" s="186"/>
    </row>
    <row r="328" spans="1:44" s="202" customFormat="1" x14ac:dyDescent="0.25">
      <c r="A328" s="23" t="s">
        <v>490</v>
      </c>
      <c r="B328" s="212" t="s">
        <v>488</v>
      </c>
      <c r="C328" s="23" t="s">
        <v>489</v>
      </c>
      <c r="D328" s="20">
        <f>1100</f>
        <v>1100</v>
      </c>
      <c r="E328" s="20">
        <f>1150</f>
        <v>1150</v>
      </c>
      <c r="F328" s="20">
        <f>1200</f>
        <v>1200</v>
      </c>
      <c r="G328" s="45">
        <f>1250</f>
        <v>1250</v>
      </c>
      <c r="H328" s="45">
        <f>1300</f>
        <v>1300</v>
      </c>
      <c r="I328" s="45">
        <f>1350</f>
        <v>1350</v>
      </c>
      <c r="J328" s="20">
        <f>1400</f>
        <v>1400</v>
      </c>
      <c r="K328" s="20">
        <f>1450</f>
        <v>1450</v>
      </c>
      <c r="L328" s="20">
        <f>1500</f>
        <v>1500</v>
      </c>
      <c r="M328" s="20">
        <f>1570</f>
        <v>1570</v>
      </c>
      <c r="N328" s="20">
        <f>1600</f>
        <v>1600</v>
      </c>
      <c r="O328" s="20">
        <f>1650</f>
        <v>1650</v>
      </c>
      <c r="P328" s="20">
        <f>1700</f>
        <v>1700</v>
      </c>
      <c r="Q328" s="20">
        <f>1800</f>
        <v>1800</v>
      </c>
      <c r="R328" s="186"/>
      <c r="S328" s="186"/>
      <c r="T328" s="186"/>
      <c r="U328" s="186"/>
      <c r="V328" s="186"/>
      <c r="W328" s="186"/>
      <c r="X328" s="186"/>
      <c r="Y328" s="186"/>
      <c r="Z328" s="186"/>
      <c r="AA328" s="186"/>
      <c r="AB328" s="186"/>
      <c r="AC328" s="186"/>
      <c r="AD328" s="186"/>
      <c r="AE328" s="186"/>
      <c r="AF328" s="186"/>
      <c r="AG328" s="186"/>
      <c r="AH328" s="186"/>
      <c r="AI328" s="186"/>
      <c r="AJ328" s="186"/>
      <c r="AK328" s="186"/>
      <c r="AL328" s="186"/>
      <c r="AM328" s="186"/>
      <c r="AN328" s="186"/>
      <c r="AO328" s="186"/>
      <c r="AP328" s="186"/>
      <c r="AQ328" s="186"/>
      <c r="AR328" s="186"/>
    </row>
    <row r="329" spans="1:44" s="202" customFormat="1" ht="45" x14ac:dyDescent="0.25">
      <c r="A329" s="23" t="s">
        <v>492</v>
      </c>
      <c r="B329" s="212" t="s">
        <v>491</v>
      </c>
      <c r="C329" s="23" t="s">
        <v>375</v>
      </c>
      <c r="D329" s="20"/>
      <c r="E329" s="20"/>
      <c r="F329" s="20"/>
      <c r="G329" s="45"/>
      <c r="H329" s="45"/>
      <c r="I329" s="45"/>
      <c r="J329" s="20"/>
      <c r="K329" s="20"/>
      <c r="L329" s="20"/>
      <c r="M329" s="20"/>
      <c r="N329" s="20"/>
      <c r="O329" s="20"/>
      <c r="P329" s="20"/>
      <c r="Q329" s="20"/>
      <c r="R329" s="186"/>
      <c r="S329" s="186"/>
      <c r="T329" s="186"/>
      <c r="U329" s="186"/>
      <c r="V329" s="186"/>
      <c r="W329" s="186"/>
      <c r="X329" s="186"/>
      <c r="Y329" s="186"/>
      <c r="Z329" s="186"/>
      <c r="AA329" s="186"/>
      <c r="AB329" s="186"/>
      <c r="AC329" s="186"/>
      <c r="AD329" s="186"/>
      <c r="AE329" s="186"/>
      <c r="AF329" s="186"/>
      <c r="AG329" s="186"/>
      <c r="AH329" s="186"/>
      <c r="AI329" s="186"/>
      <c r="AJ329" s="186"/>
      <c r="AK329" s="186"/>
      <c r="AL329" s="186"/>
      <c r="AM329" s="186"/>
      <c r="AN329" s="186"/>
      <c r="AO329" s="186"/>
      <c r="AP329" s="186"/>
      <c r="AQ329" s="186"/>
      <c r="AR329" s="186"/>
    </row>
    <row r="330" spans="1:44" s="202" customFormat="1" x14ac:dyDescent="0.25">
      <c r="A330" s="23" t="s">
        <v>52</v>
      </c>
      <c r="B330" s="23" t="s">
        <v>53</v>
      </c>
      <c r="C330" s="23"/>
      <c r="D330" s="20"/>
      <c r="E330" s="20"/>
      <c r="F330" s="20"/>
      <c r="G330" s="45"/>
      <c r="H330" s="45"/>
      <c r="I330" s="45"/>
      <c r="J330" s="20"/>
      <c r="K330" s="20"/>
      <c r="L330" s="20"/>
      <c r="M330" s="20"/>
      <c r="N330" s="20"/>
      <c r="O330" s="20"/>
      <c r="P330" s="20"/>
      <c r="Q330" s="20"/>
      <c r="R330" s="186"/>
      <c r="S330" s="186"/>
      <c r="T330" s="186"/>
      <c r="U330" s="186"/>
      <c r="V330" s="186"/>
      <c r="W330" s="186"/>
      <c r="X330" s="186"/>
      <c r="Y330" s="186"/>
      <c r="Z330" s="186"/>
      <c r="AA330" s="186"/>
      <c r="AB330" s="186"/>
      <c r="AC330" s="186"/>
      <c r="AD330" s="186"/>
      <c r="AE330" s="186"/>
      <c r="AF330" s="186"/>
      <c r="AG330" s="186"/>
      <c r="AH330" s="186"/>
      <c r="AI330" s="186"/>
      <c r="AJ330" s="186"/>
      <c r="AK330" s="186"/>
      <c r="AL330" s="186"/>
      <c r="AM330" s="186"/>
      <c r="AN330" s="186"/>
      <c r="AO330" s="186"/>
      <c r="AP330" s="186"/>
      <c r="AQ330" s="186"/>
      <c r="AR330" s="186"/>
    </row>
    <row r="331" spans="1:44" s="202" customFormat="1" ht="30" customHeight="1" x14ac:dyDescent="0.25">
      <c r="A331" s="23" t="s">
        <v>254</v>
      </c>
      <c r="B331" s="23" t="s">
        <v>255</v>
      </c>
      <c r="C331" s="57" t="s">
        <v>262</v>
      </c>
      <c r="D331" s="20">
        <f>2+15+18</f>
        <v>35</v>
      </c>
      <c r="E331" s="20">
        <f>2+13+1+1+18+3</f>
        <v>38</v>
      </c>
      <c r="F331" s="20">
        <f>2+13+18+3</f>
        <v>36</v>
      </c>
      <c r="G331" s="20">
        <f>2+14+18+2</f>
        <v>36</v>
      </c>
      <c r="H331" s="20">
        <f>2+11+1+18+1</f>
        <v>33</v>
      </c>
      <c r="I331" s="20">
        <f>2+12+18</f>
        <v>32</v>
      </c>
      <c r="J331" s="20">
        <f>2+12+18+1</f>
        <v>33</v>
      </c>
      <c r="K331" s="20">
        <f>2+13+18+1</f>
        <v>34</v>
      </c>
      <c r="L331" s="20">
        <f>2+13+1+18+1</f>
        <v>35</v>
      </c>
      <c r="M331" s="20">
        <f>2+13+18+1</f>
        <v>34</v>
      </c>
      <c r="N331" s="20">
        <f>2+13+18+1</f>
        <v>34</v>
      </c>
      <c r="O331" s="20">
        <f>2+12+1+18+1</f>
        <v>34</v>
      </c>
      <c r="P331" s="20">
        <f>2+13+18+1</f>
        <v>34</v>
      </c>
      <c r="Q331" s="20">
        <f>2+13+18+1</f>
        <v>34</v>
      </c>
      <c r="R331" s="186"/>
      <c r="S331" s="186"/>
      <c r="T331" s="186"/>
      <c r="U331" s="186"/>
      <c r="V331" s="186"/>
      <c r="W331" s="186"/>
      <c r="X331" s="186"/>
      <c r="Y331" s="186"/>
      <c r="Z331" s="186"/>
      <c r="AA331" s="186"/>
      <c r="AB331" s="186"/>
      <c r="AC331" s="186"/>
      <c r="AD331" s="186"/>
      <c r="AE331" s="186"/>
      <c r="AF331" s="186"/>
      <c r="AG331" s="186"/>
      <c r="AH331" s="186"/>
      <c r="AI331" s="186"/>
      <c r="AJ331" s="186"/>
      <c r="AK331" s="186"/>
      <c r="AL331" s="186"/>
      <c r="AM331" s="186"/>
      <c r="AN331" s="186"/>
      <c r="AO331" s="186"/>
      <c r="AP331" s="186"/>
      <c r="AQ331" s="186"/>
      <c r="AR331" s="186"/>
    </row>
    <row r="332" spans="1:44" s="202" customFormat="1" ht="30" x14ac:dyDescent="0.25">
      <c r="A332" s="23" t="s">
        <v>256</v>
      </c>
      <c r="B332" s="23" t="s">
        <v>251</v>
      </c>
      <c r="C332" s="57" t="s">
        <v>262</v>
      </c>
      <c r="D332" s="20">
        <f>2+64</f>
        <v>66</v>
      </c>
      <c r="E332" s="20">
        <f>2+16</f>
        <v>18</v>
      </c>
      <c r="F332" s="20">
        <f>2+11</f>
        <v>13</v>
      </c>
      <c r="G332" s="20">
        <f t="shared" ref="G332:H332" si="54">2+11</f>
        <v>13</v>
      </c>
      <c r="H332" s="20">
        <f t="shared" si="54"/>
        <v>13</v>
      </c>
      <c r="I332" s="20">
        <f>2+13</f>
        <v>15</v>
      </c>
      <c r="J332" s="20">
        <f>2+15</f>
        <v>17</v>
      </c>
      <c r="K332" s="20">
        <f t="shared" ref="K332:L332" si="55">2+15</f>
        <v>17</v>
      </c>
      <c r="L332" s="20">
        <f t="shared" si="55"/>
        <v>17</v>
      </c>
      <c r="M332" s="20">
        <f>2+17</f>
        <v>19</v>
      </c>
      <c r="N332" s="20">
        <f>2+14</f>
        <v>16</v>
      </c>
      <c r="O332" s="20">
        <f>2+15</f>
        <v>17</v>
      </c>
      <c r="P332" s="20">
        <f>2+16</f>
        <v>18</v>
      </c>
      <c r="Q332" s="20">
        <f>2+16</f>
        <v>18</v>
      </c>
      <c r="R332" s="186"/>
      <c r="S332" s="186"/>
      <c r="T332" s="186"/>
      <c r="U332" s="186"/>
      <c r="V332" s="186"/>
      <c r="W332" s="186"/>
      <c r="X332" s="186"/>
      <c r="Y332" s="186"/>
      <c r="Z332" s="186"/>
      <c r="AA332" s="186"/>
      <c r="AB332" s="186"/>
      <c r="AC332" s="186"/>
      <c r="AD332" s="186"/>
      <c r="AE332" s="186"/>
      <c r="AF332" s="186"/>
      <c r="AG332" s="186"/>
      <c r="AH332" s="186"/>
      <c r="AI332" s="186"/>
      <c r="AJ332" s="186"/>
      <c r="AK332" s="186"/>
      <c r="AL332" s="186"/>
      <c r="AM332" s="186"/>
      <c r="AN332" s="186"/>
      <c r="AO332" s="186"/>
      <c r="AP332" s="186"/>
      <c r="AQ332" s="186"/>
      <c r="AR332" s="186"/>
    </row>
    <row r="333" spans="1:44" s="202" customFormat="1" ht="30" x14ac:dyDescent="0.25">
      <c r="A333" s="23" t="s">
        <v>257</v>
      </c>
      <c r="B333" s="23" t="s">
        <v>252</v>
      </c>
      <c r="C333" s="57" t="s">
        <v>262</v>
      </c>
      <c r="D333" s="20">
        <f>2+10+1+18</f>
        <v>31</v>
      </c>
      <c r="E333" s="20">
        <f>2+10+18+3</f>
        <v>33</v>
      </c>
      <c r="F333" s="20">
        <f>2+12+18+3</f>
        <v>35</v>
      </c>
      <c r="G333" s="20">
        <f>2+11+1+18+2</f>
        <v>34</v>
      </c>
      <c r="H333" s="20">
        <f>2+11+18+1</f>
        <v>32</v>
      </c>
      <c r="I333" s="20">
        <f>2+11+18+1</f>
        <v>32</v>
      </c>
      <c r="J333" s="20">
        <f>2+11+18+1</f>
        <v>32</v>
      </c>
      <c r="K333" s="20">
        <f>2+11+18+1</f>
        <v>32</v>
      </c>
      <c r="L333" s="20">
        <f>2+11+1+18+1</f>
        <v>33</v>
      </c>
      <c r="M333" s="20">
        <f>2+11+18+1</f>
        <v>32</v>
      </c>
      <c r="N333" s="20">
        <f>2+11+18+1</f>
        <v>32</v>
      </c>
      <c r="O333" s="20">
        <f>2+11+1+18+1</f>
        <v>33</v>
      </c>
      <c r="P333" s="20">
        <f>2+11+18+1</f>
        <v>32</v>
      </c>
      <c r="Q333" s="20">
        <f>2+11+18+1</f>
        <v>32</v>
      </c>
      <c r="R333" s="186"/>
      <c r="S333" s="186"/>
      <c r="T333" s="186"/>
      <c r="U333" s="186"/>
      <c r="V333" s="186"/>
      <c r="W333" s="186"/>
      <c r="X333" s="186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6"/>
      <c r="AK333" s="186"/>
      <c r="AL333" s="186"/>
      <c r="AM333" s="186"/>
      <c r="AN333" s="186"/>
      <c r="AO333" s="186"/>
      <c r="AP333" s="186"/>
      <c r="AQ333" s="186"/>
      <c r="AR333" s="186"/>
    </row>
    <row r="334" spans="1:44" s="202" customFormat="1" ht="30" x14ac:dyDescent="0.25">
      <c r="A334" s="23" t="s">
        <v>258</v>
      </c>
      <c r="B334" s="23" t="s">
        <v>259</v>
      </c>
      <c r="C334" s="23" t="s">
        <v>262</v>
      </c>
      <c r="D334" s="20">
        <f>2+7</f>
        <v>9</v>
      </c>
      <c r="E334" s="20">
        <f>2+7+3</f>
        <v>12</v>
      </c>
      <c r="F334" s="20">
        <f>2+7+3</f>
        <v>12</v>
      </c>
      <c r="G334" s="20">
        <f>2+7+2</f>
        <v>11</v>
      </c>
      <c r="H334" s="20">
        <f>2+7+1</f>
        <v>10</v>
      </c>
      <c r="I334" s="20">
        <f>2+7+1</f>
        <v>10</v>
      </c>
      <c r="J334" s="20">
        <f t="shared" ref="J334:N334" si="56">2+7+1</f>
        <v>10</v>
      </c>
      <c r="K334" s="20">
        <f t="shared" si="56"/>
        <v>10</v>
      </c>
      <c r="L334" s="20">
        <f t="shared" si="56"/>
        <v>10</v>
      </c>
      <c r="M334" s="20">
        <f t="shared" si="56"/>
        <v>10</v>
      </c>
      <c r="N334" s="20">
        <f t="shared" si="56"/>
        <v>10</v>
      </c>
      <c r="O334" s="20">
        <f>2+8+1</f>
        <v>11</v>
      </c>
      <c r="P334" s="20">
        <f>2+7+1</f>
        <v>10</v>
      </c>
      <c r="Q334" s="20">
        <f>2+7+1</f>
        <v>10</v>
      </c>
      <c r="R334" s="186"/>
      <c r="S334" s="186"/>
      <c r="T334" s="186"/>
      <c r="U334" s="186"/>
      <c r="V334" s="186"/>
      <c r="W334" s="186"/>
      <c r="X334" s="186"/>
      <c r="Y334" s="186"/>
      <c r="Z334" s="186"/>
      <c r="AA334" s="186"/>
      <c r="AB334" s="186"/>
      <c r="AC334" s="186"/>
      <c r="AD334" s="186"/>
      <c r="AE334" s="186"/>
      <c r="AF334" s="186"/>
      <c r="AG334" s="186"/>
      <c r="AH334" s="186"/>
      <c r="AI334" s="186"/>
      <c r="AJ334" s="186"/>
      <c r="AK334" s="186"/>
      <c r="AL334" s="186"/>
      <c r="AM334" s="186"/>
      <c r="AN334" s="186"/>
      <c r="AO334" s="186"/>
      <c r="AP334" s="186"/>
      <c r="AQ334" s="186"/>
      <c r="AR334" s="186"/>
    </row>
    <row r="335" spans="1:44" s="202" customFormat="1" ht="30" x14ac:dyDescent="0.25">
      <c r="A335" s="23" t="s">
        <v>260</v>
      </c>
      <c r="B335" s="23" t="s">
        <v>261</v>
      </c>
      <c r="C335" s="23" t="s">
        <v>262</v>
      </c>
      <c r="D335" s="20">
        <f>2+8</f>
        <v>10</v>
      </c>
      <c r="E335" s="20">
        <f>2+9</f>
        <v>11</v>
      </c>
      <c r="F335" s="20">
        <f>2+9</f>
        <v>11</v>
      </c>
      <c r="G335" s="20">
        <f>2+8</f>
        <v>10</v>
      </c>
      <c r="H335" s="20">
        <f t="shared" ref="H335:Q335" si="57">2+8</f>
        <v>10</v>
      </c>
      <c r="I335" s="20">
        <f t="shared" si="57"/>
        <v>10</v>
      </c>
      <c r="J335" s="20">
        <f t="shared" si="57"/>
        <v>10</v>
      </c>
      <c r="K335" s="20">
        <f t="shared" si="57"/>
        <v>10</v>
      </c>
      <c r="L335" s="20">
        <f t="shared" si="57"/>
        <v>10</v>
      </c>
      <c r="M335" s="20">
        <f t="shared" si="57"/>
        <v>10</v>
      </c>
      <c r="N335" s="20">
        <f t="shared" si="57"/>
        <v>10</v>
      </c>
      <c r="O335" s="20">
        <f t="shared" si="57"/>
        <v>10</v>
      </c>
      <c r="P335" s="20">
        <f>2+9</f>
        <v>11</v>
      </c>
      <c r="Q335" s="20">
        <f t="shared" si="57"/>
        <v>10</v>
      </c>
      <c r="R335" s="186"/>
      <c r="S335" s="186"/>
      <c r="T335" s="186"/>
      <c r="U335" s="186"/>
      <c r="V335" s="186"/>
      <c r="W335" s="186"/>
      <c r="X335" s="186"/>
      <c r="Y335" s="186"/>
      <c r="Z335" s="186"/>
      <c r="AA335" s="186"/>
      <c r="AB335" s="186"/>
      <c r="AC335" s="186"/>
      <c r="AD335" s="186"/>
      <c r="AE335" s="186"/>
      <c r="AF335" s="186"/>
      <c r="AG335" s="186"/>
      <c r="AH335" s="186"/>
      <c r="AI335" s="186"/>
      <c r="AJ335" s="186"/>
      <c r="AK335" s="186"/>
      <c r="AL335" s="186"/>
      <c r="AM335" s="186"/>
      <c r="AN335" s="186"/>
      <c r="AO335" s="186"/>
      <c r="AP335" s="186"/>
      <c r="AQ335" s="186"/>
      <c r="AR335" s="186"/>
    </row>
    <row r="336" spans="1:44" s="202" customFormat="1" x14ac:dyDescent="0.25">
      <c r="A336" s="23" t="s">
        <v>30</v>
      </c>
      <c r="B336" s="275" t="s">
        <v>31</v>
      </c>
      <c r="C336" s="277"/>
      <c r="D336" s="20"/>
      <c r="E336" s="20"/>
      <c r="F336" s="20"/>
      <c r="G336" s="45"/>
      <c r="H336" s="45"/>
      <c r="I336" s="45"/>
      <c r="J336" s="20"/>
      <c r="K336" s="20"/>
      <c r="L336" s="20"/>
      <c r="M336" s="20"/>
      <c r="N336" s="20"/>
      <c r="O336" s="20"/>
      <c r="P336" s="20"/>
      <c r="Q336" s="20"/>
      <c r="R336" s="186"/>
      <c r="S336" s="186"/>
      <c r="T336" s="186"/>
      <c r="U336" s="186"/>
      <c r="V336" s="186"/>
      <c r="W336" s="186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</row>
    <row r="337" spans="1:44" s="202" customFormat="1" x14ac:dyDescent="0.25">
      <c r="A337" s="23" t="s">
        <v>376</v>
      </c>
      <c r="B337" s="23" t="s">
        <v>377</v>
      </c>
      <c r="C337" s="23" t="s">
        <v>375</v>
      </c>
      <c r="D337" s="20">
        <f>2</f>
        <v>2</v>
      </c>
      <c r="E337" s="20">
        <f>5</f>
        <v>5</v>
      </c>
      <c r="F337" s="20">
        <f>5</f>
        <v>5</v>
      </c>
      <c r="G337" s="45">
        <f>7</f>
        <v>7</v>
      </c>
      <c r="H337" s="45">
        <f>4</f>
        <v>4</v>
      </c>
      <c r="I337" s="45">
        <f>5</f>
        <v>5</v>
      </c>
      <c r="J337" s="45">
        <f>4</f>
        <v>4</v>
      </c>
      <c r="K337" s="45">
        <f>5</f>
        <v>5</v>
      </c>
      <c r="L337" s="45">
        <f>4</f>
        <v>4</v>
      </c>
      <c r="M337" s="45">
        <f>4</f>
        <v>4</v>
      </c>
      <c r="N337" s="45">
        <f>5</f>
        <v>5</v>
      </c>
      <c r="O337" s="45">
        <f>4</f>
        <v>4</v>
      </c>
      <c r="P337" s="45">
        <f>5</f>
        <v>5</v>
      </c>
      <c r="Q337" s="45">
        <f>5</f>
        <v>5</v>
      </c>
      <c r="R337" s="186"/>
      <c r="S337" s="186"/>
      <c r="T337" s="186"/>
      <c r="U337" s="186"/>
      <c r="V337" s="186"/>
      <c r="W337" s="186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</row>
    <row r="338" spans="1:44" s="202" customFormat="1" x14ac:dyDescent="0.25">
      <c r="A338" s="23" t="s">
        <v>332</v>
      </c>
      <c r="B338" s="275" t="s">
        <v>333</v>
      </c>
      <c r="C338" s="277"/>
      <c r="D338" s="20"/>
      <c r="E338" s="20"/>
      <c r="F338" s="20"/>
      <c r="G338" s="45"/>
      <c r="H338" s="45"/>
      <c r="I338" s="45"/>
      <c r="J338" s="20"/>
      <c r="K338" s="20"/>
      <c r="L338" s="20"/>
      <c r="M338" s="20"/>
      <c r="N338" s="20"/>
      <c r="O338" s="20"/>
      <c r="P338" s="20"/>
      <c r="Q338" s="20"/>
      <c r="R338" s="186"/>
      <c r="S338" s="186"/>
      <c r="T338" s="186"/>
      <c r="U338" s="186"/>
      <c r="V338" s="186"/>
      <c r="W338" s="186"/>
      <c r="X338" s="186"/>
      <c r="Y338" s="186"/>
      <c r="Z338" s="186"/>
      <c r="AA338" s="186"/>
      <c r="AB338" s="186"/>
      <c r="AC338" s="186"/>
      <c r="AD338" s="186"/>
      <c r="AE338" s="186"/>
      <c r="AF338" s="186"/>
      <c r="AG338" s="186"/>
      <c r="AH338" s="186"/>
      <c r="AI338" s="186"/>
      <c r="AJ338" s="186"/>
      <c r="AK338" s="186"/>
      <c r="AL338" s="186"/>
      <c r="AM338" s="186"/>
      <c r="AN338" s="186"/>
      <c r="AO338" s="186"/>
      <c r="AP338" s="186"/>
      <c r="AQ338" s="186"/>
      <c r="AR338" s="186"/>
    </row>
    <row r="339" spans="1:44" s="202" customFormat="1" ht="30" x14ac:dyDescent="0.25">
      <c r="A339" s="23" t="s">
        <v>373</v>
      </c>
      <c r="B339" s="23" t="s">
        <v>374</v>
      </c>
      <c r="C339" s="23" t="s">
        <v>375</v>
      </c>
      <c r="D339" s="20">
        <f>2</f>
        <v>2</v>
      </c>
      <c r="E339" s="20">
        <f>2</f>
        <v>2</v>
      </c>
      <c r="F339" s="20">
        <f>2</f>
        <v>2</v>
      </c>
      <c r="G339" s="20">
        <f>2</f>
        <v>2</v>
      </c>
      <c r="H339" s="20">
        <f>2</f>
        <v>2</v>
      </c>
      <c r="I339" s="20">
        <f>2</f>
        <v>2</v>
      </c>
      <c r="J339" s="20">
        <f>2</f>
        <v>2</v>
      </c>
      <c r="K339" s="20">
        <f>2</f>
        <v>2</v>
      </c>
      <c r="L339" s="20">
        <f>2</f>
        <v>2</v>
      </c>
      <c r="M339" s="20">
        <f>2</f>
        <v>2</v>
      </c>
      <c r="N339" s="20">
        <f>2</f>
        <v>2</v>
      </c>
      <c r="O339" s="20">
        <f>2</f>
        <v>2</v>
      </c>
      <c r="P339" s="20">
        <f>2</f>
        <v>2</v>
      </c>
      <c r="Q339" s="20">
        <f>2</f>
        <v>2</v>
      </c>
      <c r="R339" s="186"/>
      <c r="S339" s="186"/>
      <c r="T339" s="186"/>
      <c r="U339" s="186"/>
      <c r="V339" s="186"/>
      <c r="W339" s="186"/>
      <c r="X339" s="186"/>
      <c r="Y339" s="186"/>
      <c r="Z339" s="186"/>
      <c r="AA339" s="186"/>
      <c r="AB339" s="186"/>
      <c r="AC339" s="186"/>
      <c r="AD339" s="186"/>
      <c r="AE339" s="186"/>
      <c r="AF339" s="186"/>
      <c r="AG339" s="186"/>
      <c r="AH339" s="186"/>
      <c r="AI339" s="186"/>
      <c r="AJ339" s="186"/>
      <c r="AK339" s="186"/>
      <c r="AL339" s="186"/>
      <c r="AM339" s="186"/>
      <c r="AN339" s="186"/>
      <c r="AO339" s="186"/>
      <c r="AP339" s="186"/>
      <c r="AQ339" s="186"/>
      <c r="AR339" s="186"/>
    </row>
    <row r="340" spans="1:44" s="202" customFormat="1" x14ac:dyDescent="0.25">
      <c r="A340" s="23" t="s">
        <v>148</v>
      </c>
      <c r="B340" s="23" t="s">
        <v>149</v>
      </c>
      <c r="C340" s="23"/>
      <c r="D340" s="20"/>
      <c r="E340" s="20"/>
      <c r="F340" s="20"/>
      <c r="G340" s="45"/>
      <c r="H340" s="45"/>
      <c r="I340" s="45"/>
      <c r="J340" s="20"/>
      <c r="K340" s="20"/>
      <c r="L340" s="20"/>
      <c r="M340" s="20"/>
      <c r="N340" s="20"/>
      <c r="O340" s="20"/>
      <c r="P340" s="20"/>
      <c r="Q340" s="20"/>
      <c r="R340" s="186"/>
      <c r="S340" s="186"/>
      <c r="T340" s="186"/>
      <c r="U340" s="186"/>
      <c r="V340" s="186"/>
      <c r="W340" s="186"/>
      <c r="X340" s="186"/>
      <c r="Y340" s="186"/>
      <c r="Z340" s="186"/>
      <c r="AA340" s="186"/>
      <c r="AB340" s="186"/>
      <c r="AC340" s="186"/>
      <c r="AD340" s="186"/>
      <c r="AE340" s="186"/>
      <c r="AF340" s="186"/>
      <c r="AG340" s="186"/>
      <c r="AH340" s="186"/>
      <c r="AI340" s="186"/>
      <c r="AJ340" s="186"/>
      <c r="AK340" s="186"/>
      <c r="AL340" s="186"/>
      <c r="AM340" s="186"/>
      <c r="AN340" s="186"/>
      <c r="AO340" s="186"/>
      <c r="AP340" s="186"/>
      <c r="AQ340" s="186"/>
      <c r="AR340" s="186"/>
    </row>
    <row r="341" spans="1:44" s="202" customFormat="1" x14ac:dyDescent="0.25">
      <c r="A341" s="23" t="s">
        <v>378</v>
      </c>
      <c r="B341" s="23" t="s">
        <v>379</v>
      </c>
      <c r="C341" s="23" t="s">
        <v>375</v>
      </c>
      <c r="D341" s="20">
        <f>1</f>
        <v>1</v>
      </c>
      <c r="E341" s="20"/>
      <c r="F341" s="20"/>
      <c r="G341" s="45">
        <f>1</f>
        <v>1</v>
      </c>
      <c r="H341" s="45">
        <f>1</f>
        <v>1</v>
      </c>
      <c r="I341" s="45">
        <f>1</f>
        <v>1</v>
      </c>
      <c r="J341" s="20"/>
      <c r="K341" s="20">
        <f>1</f>
        <v>1</v>
      </c>
      <c r="L341" s="20"/>
      <c r="M341" s="20">
        <f>1</f>
        <v>1</v>
      </c>
      <c r="N341" s="20"/>
      <c r="O341" s="20"/>
      <c r="P341" s="20">
        <f>1</f>
        <v>1</v>
      </c>
      <c r="Q341" s="20"/>
      <c r="R341" s="186"/>
      <c r="S341" s="186"/>
      <c r="T341" s="186"/>
      <c r="U341" s="186"/>
      <c r="V341" s="186"/>
      <c r="W341" s="186"/>
      <c r="X341" s="186"/>
      <c r="Y341" s="186"/>
      <c r="Z341" s="186"/>
      <c r="AA341" s="186"/>
      <c r="AB341" s="186"/>
      <c r="AC341" s="186"/>
      <c r="AD341" s="186"/>
      <c r="AE341" s="186"/>
      <c r="AF341" s="186"/>
      <c r="AG341" s="186"/>
      <c r="AH341" s="186"/>
      <c r="AI341" s="186"/>
      <c r="AJ341" s="186"/>
      <c r="AK341" s="186"/>
      <c r="AL341" s="186"/>
      <c r="AM341" s="186"/>
      <c r="AN341" s="186"/>
      <c r="AO341" s="186"/>
      <c r="AP341" s="186"/>
      <c r="AQ341" s="186"/>
      <c r="AR341" s="186"/>
    </row>
    <row r="342" spans="1:44" s="202" customFormat="1" x14ac:dyDescent="0.25">
      <c r="A342" s="23" t="s">
        <v>107</v>
      </c>
      <c r="B342" s="56" t="s">
        <v>108</v>
      </c>
      <c r="C342" s="57"/>
      <c r="D342" s="20"/>
      <c r="E342" s="20"/>
      <c r="F342" s="20"/>
      <c r="G342" s="45"/>
      <c r="H342" s="45"/>
      <c r="I342" s="45"/>
      <c r="J342" s="20"/>
      <c r="K342" s="20"/>
      <c r="L342" s="20"/>
      <c r="M342" s="20"/>
      <c r="N342" s="20"/>
      <c r="O342" s="20"/>
      <c r="P342" s="20"/>
      <c r="Q342" s="20"/>
      <c r="R342" s="186"/>
      <c r="S342" s="186"/>
      <c r="T342" s="186"/>
      <c r="U342" s="186"/>
      <c r="V342" s="186"/>
      <c r="W342" s="186"/>
      <c r="X342" s="186"/>
      <c r="Y342" s="186"/>
      <c r="Z342" s="186"/>
      <c r="AA342" s="186"/>
      <c r="AB342" s="186"/>
      <c r="AC342" s="186"/>
      <c r="AD342" s="186"/>
      <c r="AE342" s="186"/>
      <c r="AF342" s="186"/>
      <c r="AG342" s="186"/>
      <c r="AH342" s="186"/>
      <c r="AI342" s="186"/>
      <c r="AJ342" s="186"/>
      <c r="AK342" s="186"/>
      <c r="AL342" s="186"/>
      <c r="AM342" s="186"/>
      <c r="AN342" s="186"/>
      <c r="AO342" s="186"/>
      <c r="AP342" s="186"/>
      <c r="AQ342" s="186"/>
      <c r="AR342" s="186"/>
    </row>
    <row r="343" spans="1:44" s="202" customFormat="1" ht="30" x14ac:dyDescent="0.25">
      <c r="A343" s="23" t="s">
        <v>380</v>
      </c>
      <c r="B343" s="56" t="s">
        <v>381</v>
      </c>
      <c r="C343" s="57" t="s">
        <v>375</v>
      </c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6"/>
      <c r="AN343" s="186"/>
      <c r="AO343" s="186"/>
      <c r="AP343" s="186"/>
      <c r="AQ343" s="186"/>
      <c r="AR343" s="186"/>
    </row>
    <row r="344" spans="1:44" s="202" customFormat="1" x14ac:dyDescent="0.25">
      <c r="A344" s="23" t="s">
        <v>43</v>
      </c>
      <c r="B344" s="270" t="s">
        <v>44</v>
      </c>
      <c r="C344" s="271"/>
      <c r="D344" s="20"/>
      <c r="E344" s="20"/>
      <c r="F344" s="20"/>
      <c r="G344" s="45"/>
      <c r="H344" s="45"/>
      <c r="I344" s="45"/>
      <c r="J344" s="20"/>
      <c r="K344" s="20"/>
      <c r="L344" s="20"/>
      <c r="M344" s="20"/>
      <c r="N344" s="20"/>
      <c r="O344" s="20"/>
      <c r="P344" s="20"/>
      <c r="Q344" s="20"/>
      <c r="R344" s="186"/>
      <c r="S344" s="186"/>
      <c r="T344" s="186"/>
      <c r="U344" s="186"/>
      <c r="V344" s="186"/>
      <c r="W344" s="186"/>
      <c r="X344" s="186"/>
      <c r="Y344" s="186"/>
      <c r="Z344" s="186"/>
      <c r="AA344" s="186"/>
      <c r="AB344" s="186"/>
      <c r="AC344" s="186"/>
      <c r="AD344" s="186"/>
      <c r="AE344" s="186"/>
      <c r="AF344" s="186"/>
      <c r="AG344" s="186"/>
      <c r="AH344" s="186"/>
      <c r="AI344" s="186"/>
      <c r="AJ344" s="186"/>
      <c r="AK344" s="186"/>
      <c r="AL344" s="186"/>
      <c r="AM344" s="186"/>
      <c r="AN344" s="186"/>
      <c r="AO344" s="186"/>
      <c r="AP344" s="186"/>
      <c r="AQ344" s="186"/>
      <c r="AR344" s="186"/>
    </row>
    <row r="345" spans="1:44" s="202" customFormat="1" x14ac:dyDescent="0.25">
      <c r="A345" s="23" t="s">
        <v>194</v>
      </c>
      <c r="B345" s="14" t="s">
        <v>195</v>
      </c>
      <c r="C345" s="14" t="s">
        <v>200</v>
      </c>
      <c r="D345" s="20"/>
      <c r="E345" s="20"/>
      <c r="F345" s="20"/>
      <c r="G345" s="45"/>
      <c r="H345" s="45"/>
      <c r="I345" s="45"/>
      <c r="J345" s="20"/>
      <c r="K345" s="20"/>
      <c r="L345" s="20"/>
      <c r="M345" s="20"/>
      <c r="N345" s="20"/>
      <c r="O345" s="20"/>
      <c r="P345" s="20"/>
      <c r="Q345" s="20"/>
      <c r="R345" s="186"/>
      <c r="S345" s="186"/>
      <c r="T345" s="186"/>
      <c r="U345" s="186"/>
      <c r="V345" s="186"/>
      <c r="W345" s="186"/>
      <c r="X345" s="186"/>
      <c r="Y345" s="186"/>
      <c r="Z345" s="186"/>
      <c r="AA345" s="186"/>
      <c r="AB345" s="186"/>
      <c r="AC345" s="186"/>
      <c r="AD345" s="186"/>
      <c r="AE345" s="186"/>
      <c r="AF345" s="186"/>
      <c r="AG345" s="186"/>
      <c r="AH345" s="186"/>
      <c r="AI345" s="186"/>
      <c r="AJ345" s="186"/>
      <c r="AK345" s="186"/>
      <c r="AL345" s="186"/>
      <c r="AM345" s="186"/>
      <c r="AN345" s="186"/>
      <c r="AO345" s="186"/>
      <c r="AP345" s="186"/>
      <c r="AQ345" s="186"/>
      <c r="AR345" s="186"/>
    </row>
    <row r="346" spans="1:44" s="202" customFormat="1" x14ac:dyDescent="0.25">
      <c r="A346" s="23" t="s">
        <v>20</v>
      </c>
      <c r="B346" s="270" t="s">
        <v>21</v>
      </c>
      <c r="C346" s="271"/>
      <c r="D346" s="20"/>
      <c r="E346" s="20"/>
      <c r="F346" s="20"/>
      <c r="G346" s="45"/>
      <c r="H346" s="45"/>
      <c r="I346" s="45"/>
      <c r="J346" s="20"/>
      <c r="K346" s="20"/>
      <c r="L346" s="20"/>
      <c r="M346" s="20"/>
      <c r="N346" s="20"/>
      <c r="O346" s="20"/>
      <c r="P346" s="20"/>
      <c r="Q346" s="20"/>
      <c r="R346" s="186"/>
      <c r="S346" s="186"/>
      <c r="T346" s="186"/>
      <c r="U346" s="186"/>
      <c r="V346" s="186"/>
      <c r="W346" s="186"/>
      <c r="X346" s="186"/>
      <c r="Y346" s="186"/>
      <c r="Z346" s="186"/>
      <c r="AA346" s="186"/>
      <c r="AB346" s="186"/>
      <c r="AC346" s="186"/>
      <c r="AD346" s="186"/>
      <c r="AE346" s="186"/>
      <c r="AF346" s="186"/>
      <c r="AG346" s="186"/>
      <c r="AH346" s="186"/>
      <c r="AI346" s="186"/>
      <c r="AJ346" s="186"/>
      <c r="AK346" s="186"/>
      <c r="AL346" s="186"/>
      <c r="AM346" s="186"/>
      <c r="AN346" s="186"/>
      <c r="AO346" s="186"/>
      <c r="AP346" s="186"/>
      <c r="AQ346" s="186"/>
      <c r="AR346" s="186"/>
    </row>
    <row r="347" spans="1:44" s="202" customFormat="1" x14ac:dyDescent="0.25">
      <c r="A347" s="23" t="s">
        <v>283</v>
      </c>
      <c r="B347" s="14" t="s">
        <v>150</v>
      </c>
      <c r="C347" s="14" t="s">
        <v>289</v>
      </c>
      <c r="D347" s="20"/>
      <c r="E347" s="20"/>
      <c r="F347" s="20"/>
      <c r="G347" s="45"/>
      <c r="H347" s="45"/>
      <c r="I347" s="45"/>
      <c r="J347" s="20"/>
      <c r="K347" s="20"/>
      <c r="L347" s="20"/>
      <c r="M347" s="20"/>
      <c r="N347" s="20"/>
      <c r="O347" s="20"/>
      <c r="P347" s="20"/>
      <c r="Q347" s="20"/>
      <c r="R347" s="186"/>
      <c r="S347" s="186"/>
      <c r="T347" s="186"/>
      <c r="U347" s="186"/>
      <c r="V347" s="186"/>
      <c r="W347" s="186"/>
      <c r="X347" s="186"/>
      <c r="Y347" s="186"/>
      <c r="Z347" s="186"/>
      <c r="AA347" s="186"/>
      <c r="AB347" s="186"/>
      <c r="AC347" s="186"/>
      <c r="AD347" s="186"/>
      <c r="AE347" s="186"/>
      <c r="AF347" s="186"/>
      <c r="AG347" s="186"/>
      <c r="AH347" s="186"/>
      <c r="AI347" s="186"/>
      <c r="AJ347" s="186"/>
      <c r="AK347" s="186"/>
      <c r="AL347" s="186"/>
      <c r="AM347" s="186"/>
      <c r="AN347" s="186"/>
      <c r="AO347" s="186"/>
      <c r="AP347" s="186"/>
      <c r="AQ347" s="186"/>
      <c r="AR347" s="186"/>
    </row>
    <row r="348" spans="1:44" s="202" customFormat="1" ht="30" x14ac:dyDescent="0.25">
      <c r="A348" s="23" t="s">
        <v>284</v>
      </c>
      <c r="B348" s="14" t="s">
        <v>285</v>
      </c>
      <c r="C348" s="14" t="s">
        <v>290</v>
      </c>
      <c r="D348" s="20"/>
      <c r="E348" s="20"/>
      <c r="F348" s="20"/>
      <c r="G348" s="45"/>
      <c r="H348" s="45"/>
      <c r="I348" s="45"/>
      <c r="J348" s="20"/>
      <c r="K348" s="20"/>
      <c r="L348" s="20"/>
      <c r="M348" s="20"/>
      <c r="N348" s="20"/>
      <c r="O348" s="20"/>
      <c r="P348" s="20"/>
      <c r="Q348" s="20"/>
      <c r="R348" s="186"/>
      <c r="S348" s="186"/>
      <c r="T348" s="186"/>
      <c r="U348" s="186"/>
      <c r="V348" s="186"/>
      <c r="W348" s="186"/>
      <c r="X348" s="186"/>
      <c r="Y348" s="186"/>
      <c r="Z348" s="186"/>
      <c r="AA348" s="186"/>
      <c r="AB348" s="186"/>
      <c r="AC348" s="186"/>
      <c r="AD348" s="186"/>
      <c r="AE348" s="186"/>
      <c r="AF348" s="186"/>
      <c r="AG348" s="186"/>
      <c r="AH348" s="186"/>
      <c r="AI348" s="186"/>
      <c r="AJ348" s="186"/>
      <c r="AK348" s="186"/>
      <c r="AL348" s="186"/>
      <c r="AM348" s="186"/>
      <c r="AN348" s="186"/>
      <c r="AO348" s="186"/>
      <c r="AP348" s="186"/>
      <c r="AQ348" s="186"/>
      <c r="AR348" s="186"/>
    </row>
    <row r="349" spans="1:44" s="202" customFormat="1" x14ac:dyDescent="0.25">
      <c r="A349" s="23" t="s">
        <v>34</v>
      </c>
      <c r="B349" s="270" t="s">
        <v>35</v>
      </c>
      <c r="C349" s="271"/>
      <c r="D349" s="20"/>
      <c r="E349" s="20"/>
      <c r="F349" s="20"/>
      <c r="G349" s="45"/>
      <c r="H349" s="45"/>
      <c r="I349" s="45"/>
      <c r="J349" s="20"/>
      <c r="K349" s="20"/>
      <c r="L349" s="20"/>
      <c r="M349" s="20"/>
      <c r="N349" s="20"/>
      <c r="O349" s="20"/>
      <c r="P349" s="20"/>
      <c r="Q349" s="20"/>
      <c r="R349" s="186"/>
      <c r="S349" s="186"/>
      <c r="T349" s="186"/>
      <c r="U349" s="186"/>
      <c r="V349" s="186"/>
      <c r="W349" s="186"/>
      <c r="X349" s="186"/>
      <c r="Y349" s="186"/>
      <c r="Z349" s="186"/>
      <c r="AA349" s="186"/>
      <c r="AB349" s="186"/>
      <c r="AC349" s="186"/>
      <c r="AD349" s="186"/>
      <c r="AE349" s="186"/>
      <c r="AF349" s="186"/>
      <c r="AG349" s="186"/>
      <c r="AH349" s="186"/>
      <c r="AI349" s="186"/>
      <c r="AJ349" s="186"/>
      <c r="AK349" s="186"/>
      <c r="AL349" s="186"/>
      <c r="AM349" s="186"/>
      <c r="AN349" s="186"/>
      <c r="AO349" s="186"/>
      <c r="AP349" s="186"/>
      <c r="AQ349" s="186"/>
      <c r="AR349" s="186"/>
    </row>
    <row r="350" spans="1:44" s="202" customFormat="1" x14ac:dyDescent="0.25">
      <c r="A350" s="23" t="s">
        <v>212</v>
      </c>
      <c r="B350" s="14" t="s">
        <v>213</v>
      </c>
      <c r="C350" s="55" t="s">
        <v>199</v>
      </c>
      <c r="D350" s="20"/>
      <c r="E350" s="20"/>
      <c r="F350" s="20"/>
      <c r="G350" s="45"/>
      <c r="H350" s="45"/>
      <c r="I350" s="45"/>
      <c r="J350" s="20"/>
      <c r="K350" s="20"/>
      <c r="L350" s="20"/>
      <c r="M350" s="20"/>
      <c r="N350" s="20"/>
      <c r="O350" s="20"/>
      <c r="P350" s="20"/>
      <c r="Q350" s="20"/>
      <c r="R350" s="186"/>
      <c r="S350" s="186"/>
      <c r="T350" s="186"/>
      <c r="U350" s="186"/>
      <c r="V350" s="186"/>
      <c r="W350" s="186"/>
      <c r="X350" s="186"/>
      <c r="Y350" s="186"/>
      <c r="Z350" s="186"/>
      <c r="AA350" s="186"/>
      <c r="AB350" s="186"/>
      <c r="AC350" s="186"/>
      <c r="AD350" s="186"/>
      <c r="AE350" s="186"/>
      <c r="AF350" s="186"/>
      <c r="AG350" s="186"/>
      <c r="AH350" s="186"/>
      <c r="AI350" s="186"/>
      <c r="AJ350" s="186"/>
      <c r="AK350" s="186"/>
      <c r="AL350" s="186"/>
      <c r="AM350" s="186"/>
      <c r="AN350" s="186"/>
      <c r="AO350" s="186"/>
      <c r="AP350" s="186"/>
      <c r="AQ350" s="186"/>
      <c r="AR350" s="186"/>
    </row>
    <row r="351" spans="1:44" s="202" customFormat="1" ht="30" x14ac:dyDescent="0.25">
      <c r="A351" s="23" t="s">
        <v>196</v>
      </c>
      <c r="B351" s="14" t="s">
        <v>197</v>
      </c>
      <c r="C351" s="14" t="s">
        <v>201</v>
      </c>
      <c r="D351" s="20"/>
      <c r="E351" s="20"/>
      <c r="F351" s="20"/>
      <c r="G351" s="45"/>
      <c r="H351" s="45"/>
      <c r="I351" s="45"/>
      <c r="J351" s="20"/>
      <c r="K351" s="20"/>
      <c r="L351" s="20"/>
      <c r="M351" s="20"/>
      <c r="N351" s="20"/>
      <c r="O351" s="20"/>
      <c r="P351" s="20"/>
      <c r="Q351" s="20"/>
      <c r="R351" s="186"/>
      <c r="S351" s="186"/>
      <c r="T351" s="186"/>
      <c r="U351" s="186"/>
      <c r="V351" s="186"/>
      <c r="W351" s="186"/>
      <c r="X351" s="186"/>
      <c r="Y351" s="186"/>
      <c r="Z351" s="186"/>
      <c r="AA351" s="186"/>
      <c r="AB351" s="186"/>
      <c r="AC351" s="186"/>
      <c r="AD351" s="186"/>
      <c r="AE351" s="186"/>
      <c r="AF351" s="186"/>
      <c r="AG351" s="186"/>
      <c r="AH351" s="186"/>
      <c r="AI351" s="186"/>
      <c r="AJ351" s="186"/>
      <c r="AK351" s="186"/>
      <c r="AL351" s="186"/>
      <c r="AM351" s="186"/>
      <c r="AN351" s="186"/>
      <c r="AO351" s="186"/>
      <c r="AP351" s="186"/>
      <c r="AQ351" s="186"/>
      <c r="AR351" s="186"/>
    </row>
    <row r="352" spans="1:44" s="202" customFormat="1" ht="30" x14ac:dyDescent="0.25">
      <c r="A352" s="23" t="s">
        <v>347</v>
      </c>
      <c r="B352" s="14" t="s">
        <v>348</v>
      </c>
      <c r="C352" s="14"/>
      <c r="D352" s="20"/>
      <c r="E352" s="20"/>
      <c r="F352" s="20"/>
      <c r="G352" s="45"/>
      <c r="H352" s="45"/>
      <c r="I352" s="45"/>
      <c r="J352" s="20"/>
      <c r="K352" s="20"/>
      <c r="L352" s="20"/>
      <c r="M352" s="20"/>
      <c r="N352" s="20"/>
      <c r="O352" s="20"/>
      <c r="P352" s="20"/>
      <c r="Q352" s="20"/>
      <c r="R352" s="186"/>
      <c r="S352" s="186"/>
      <c r="T352" s="186"/>
      <c r="U352" s="186"/>
      <c r="V352" s="186"/>
      <c r="W352" s="186"/>
      <c r="X352" s="186"/>
      <c r="Y352" s="186"/>
      <c r="Z352" s="186"/>
      <c r="AA352" s="186"/>
      <c r="AB352" s="186"/>
      <c r="AC352" s="186"/>
      <c r="AD352" s="186"/>
      <c r="AE352" s="186"/>
      <c r="AF352" s="186"/>
      <c r="AG352" s="186"/>
      <c r="AH352" s="186"/>
      <c r="AI352" s="186"/>
      <c r="AJ352" s="186"/>
      <c r="AK352" s="186"/>
      <c r="AL352" s="186"/>
      <c r="AM352" s="186"/>
      <c r="AN352" s="186"/>
      <c r="AO352" s="186"/>
      <c r="AP352" s="186"/>
      <c r="AQ352" s="186"/>
      <c r="AR352" s="186"/>
    </row>
    <row r="353" spans="1:44" s="202" customFormat="1" x14ac:dyDescent="0.25">
      <c r="A353" s="23" t="s">
        <v>382</v>
      </c>
      <c r="B353" s="14" t="s">
        <v>383</v>
      </c>
      <c r="C353" s="14" t="s">
        <v>199</v>
      </c>
      <c r="D353" s="20">
        <v>2</v>
      </c>
      <c r="E353" s="20"/>
      <c r="F353" s="20"/>
      <c r="G353" s="45">
        <f>1</f>
        <v>1</v>
      </c>
      <c r="H353" s="45">
        <f>1</f>
        <v>1</v>
      </c>
      <c r="I353" s="45"/>
      <c r="J353" s="20">
        <f>1</f>
        <v>1</v>
      </c>
      <c r="K353" s="20"/>
      <c r="L353" s="20">
        <f>1</f>
        <v>1</v>
      </c>
      <c r="M353" s="20"/>
      <c r="N353" s="20">
        <f>1</f>
        <v>1</v>
      </c>
      <c r="O353" s="20"/>
      <c r="P353" s="20">
        <f>1</f>
        <v>1</v>
      </c>
      <c r="Q353" s="20"/>
      <c r="R353" s="186"/>
      <c r="S353" s="186"/>
      <c r="T353" s="186"/>
      <c r="U353" s="186"/>
      <c r="V353" s="186"/>
      <c r="W353" s="186"/>
      <c r="X353" s="186"/>
      <c r="Y353" s="186"/>
      <c r="Z353" s="186"/>
      <c r="AA353" s="186"/>
      <c r="AB353" s="186"/>
      <c r="AC353" s="186"/>
      <c r="AD353" s="186"/>
      <c r="AE353" s="186"/>
      <c r="AF353" s="186"/>
      <c r="AG353" s="186"/>
      <c r="AH353" s="186"/>
      <c r="AI353" s="186"/>
      <c r="AJ353" s="186"/>
      <c r="AK353" s="186"/>
      <c r="AL353" s="186"/>
      <c r="AM353" s="186"/>
      <c r="AN353" s="186"/>
      <c r="AO353" s="186"/>
      <c r="AP353" s="186"/>
      <c r="AQ353" s="186"/>
      <c r="AR353" s="186"/>
    </row>
    <row r="354" spans="1:44" s="211" customFormat="1" x14ac:dyDescent="0.25">
      <c r="A354" s="261" t="s">
        <v>1191</v>
      </c>
      <c r="B354" s="261"/>
      <c r="C354" s="66"/>
      <c r="D354" s="64">
        <f>SUM(D328:D353)</f>
        <v>1258</v>
      </c>
      <c r="E354" s="64">
        <f t="shared" ref="E354:Q354" si="58">SUM(E328:E353)</f>
        <v>1269</v>
      </c>
      <c r="F354" s="64">
        <f t="shared" si="58"/>
        <v>1314</v>
      </c>
      <c r="G354" s="64">
        <f t="shared" si="58"/>
        <v>1365</v>
      </c>
      <c r="H354" s="64">
        <f t="shared" si="58"/>
        <v>1406</v>
      </c>
      <c r="I354" s="64">
        <f t="shared" si="58"/>
        <v>1457</v>
      </c>
      <c r="J354" s="64">
        <f t="shared" si="58"/>
        <v>1509</v>
      </c>
      <c r="K354" s="64">
        <f t="shared" si="58"/>
        <v>1561</v>
      </c>
      <c r="L354" s="64">
        <f t="shared" si="58"/>
        <v>1612</v>
      </c>
      <c r="M354" s="64">
        <f t="shared" si="58"/>
        <v>1682</v>
      </c>
      <c r="N354" s="64">
        <f t="shared" si="58"/>
        <v>1710</v>
      </c>
      <c r="O354" s="64">
        <f t="shared" si="58"/>
        <v>1761</v>
      </c>
      <c r="P354" s="64">
        <f t="shared" si="58"/>
        <v>1814</v>
      </c>
      <c r="Q354" s="64">
        <f t="shared" si="58"/>
        <v>1911</v>
      </c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  <c r="AR354" s="69"/>
    </row>
    <row r="355" spans="1:44" s="202" customFormat="1" x14ac:dyDescent="0.25">
      <c r="A355" s="257" t="s">
        <v>36</v>
      </c>
      <c r="B355" s="258"/>
      <c r="C355" s="259"/>
      <c r="D355" s="20"/>
      <c r="E355" s="20"/>
      <c r="F355" s="20"/>
      <c r="G355" s="45"/>
      <c r="H355" s="45"/>
      <c r="I355" s="45"/>
      <c r="J355" s="20"/>
      <c r="K355" s="20"/>
      <c r="L355" s="20"/>
      <c r="M355" s="20"/>
      <c r="N355" s="20"/>
      <c r="O355" s="20"/>
      <c r="P355" s="20"/>
      <c r="Q355" s="20"/>
      <c r="R355" s="186"/>
      <c r="S355" s="186"/>
      <c r="T355" s="186"/>
      <c r="U355" s="186"/>
      <c r="V355" s="186"/>
      <c r="W355" s="186"/>
      <c r="X355" s="186"/>
      <c r="Y355" s="186"/>
      <c r="Z355" s="186"/>
      <c r="AA355" s="186"/>
      <c r="AB355" s="186"/>
      <c r="AC355" s="186"/>
      <c r="AD355" s="186"/>
      <c r="AE355" s="186"/>
      <c r="AF355" s="186"/>
      <c r="AG355" s="186"/>
      <c r="AH355" s="186"/>
      <c r="AI355" s="186"/>
      <c r="AJ355" s="186"/>
      <c r="AK355" s="186"/>
      <c r="AL355" s="186"/>
      <c r="AM355" s="186"/>
      <c r="AN355" s="186"/>
      <c r="AO355" s="186"/>
      <c r="AP355" s="186"/>
      <c r="AQ355" s="186"/>
      <c r="AR355" s="186"/>
    </row>
    <row r="356" spans="1:44" x14ac:dyDescent="0.25">
      <c r="A356" s="14" t="s">
        <v>18</v>
      </c>
      <c r="B356" s="14" t="s">
        <v>19</v>
      </c>
      <c r="C356" s="14"/>
      <c r="D356" s="20"/>
      <c r="E356" s="20"/>
      <c r="F356" s="20"/>
      <c r="G356" s="45"/>
      <c r="H356" s="45"/>
      <c r="I356" s="45"/>
      <c r="J356" s="20"/>
      <c r="K356" s="20"/>
      <c r="L356" s="20"/>
      <c r="M356" s="20"/>
      <c r="N356" s="20"/>
      <c r="O356" s="20"/>
      <c r="P356" s="20"/>
      <c r="Q356" s="20"/>
    </row>
    <row r="357" spans="1:44" x14ac:dyDescent="0.25">
      <c r="A357" s="14" t="s">
        <v>112</v>
      </c>
      <c r="B357" s="14" t="s">
        <v>113</v>
      </c>
      <c r="C357" s="14" t="s">
        <v>2</v>
      </c>
      <c r="D357" s="20">
        <f>34+30</f>
        <v>64</v>
      </c>
      <c r="E357" s="20">
        <f>18+35</f>
        <v>53</v>
      </c>
      <c r="F357" s="20">
        <f>19+32</f>
        <v>51</v>
      </c>
      <c r="G357" s="45">
        <f>33+34</f>
        <v>67</v>
      </c>
      <c r="H357" s="45">
        <f>24+30</f>
        <v>54</v>
      </c>
      <c r="I357" s="45">
        <f>21+35</f>
        <v>56</v>
      </c>
      <c r="J357" s="20">
        <f>33+33</f>
        <v>66</v>
      </c>
      <c r="K357" s="20">
        <f>36+32</f>
        <v>68</v>
      </c>
      <c r="L357" s="20">
        <f>33+32</f>
        <v>65</v>
      </c>
      <c r="M357" s="20">
        <f>35+30</f>
        <v>65</v>
      </c>
      <c r="N357" s="20">
        <f>40+33</f>
        <v>73</v>
      </c>
      <c r="O357" s="20">
        <f>39+32</f>
        <v>71</v>
      </c>
      <c r="P357" s="20">
        <f>40+34</f>
        <v>74</v>
      </c>
      <c r="Q357" s="20">
        <f>41+32</f>
        <v>73</v>
      </c>
    </row>
    <row r="358" spans="1:44" s="69" customFormat="1" x14ac:dyDescent="0.25">
      <c r="A358" s="254" t="s">
        <v>1192</v>
      </c>
      <c r="B358" s="255"/>
      <c r="C358" s="66"/>
      <c r="D358" s="64">
        <f>SUM(D356:D357)</f>
        <v>64</v>
      </c>
      <c r="E358" s="64">
        <f t="shared" ref="E358:Q358" si="59">SUM(E356:E357)</f>
        <v>53</v>
      </c>
      <c r="F358" s="64">
        <f t="shared" si="59"/>
        <v>51</v>
      </c>
      <c r="G358" s="64">
        <f t="shared" si="59"/>
        <v>67</v>
      </c>
      <c r="H358" s="64">
        <f t="shared" si="59"/>
        <v>54</v>
      </c>
      <c r="I358" s="64">
        <f t="shared" si="59"/>
        <v>56</v>
      </c>
      <c r="J358" s="64">
        <f t="shared" si="59"/>
        <v>66</v>
      </c>
      <c r="K358" s="64">
        <f t="shared" si="59"/>
        <v>68</v>
      </c>
      <c r="L358" s="64">
        <f t="shared" si="59"/>
        <v>65</v>
      </c>
      <c r="M358" s="64">
        <f t="shared" si="59"/>
        <v>65</v>
      </c>
      <c r="N358" s="64">
        <f t="shared" si="59"/>
        <v>73</v>
      </c>
      <c r="O358" s="64">
        <f t="shared" si="59"/>
        <v>71</v>
      </c>
      <c r="P358" s="64">
        <f t="shared" si="59"/>
        <v>74</v>
      </c>
      <c r="Q358" s="64">
        <f t="shared" si="59"/>
        <v>73</v>
      </c>
    </row>
    <row r="359" spans="1:44" ht="16.5" customHeight="1" x14ac:dyDescent="0.25">
      <c r="A359" s="257" t="s">
        <v>263</v>
      </c>
      <c r="B359" s="259"/>
      <c r="C359" s="14"/>
      <c r="D359" s="20"/>
      <c r="E359" s="20"/>
      <c r="F359" s="20"/>
      <c r="G359" s="45"/>
      <c r="H359" s="45"/>
      <c r="I359" s="45"/>
      <c r="J359" s="20"/>
      <c r="K359" s="20"/>
      <c r="L359" s="20"/>
      <c r="M359" s="20"/>
      <c r="N359" s="20"/>
      <c r="O359" s="20"/>
      <c r="P359" s="20"/>
      <c r="Q359" s="20"/>
    </row>
    <row r="360" spans="1:44" x14ac:dyDescent="0.25">
      <c r="A360" s="54" t="s">
        <v>419</v>
      </c>
      <c r="B360" s="55" t="s">
        <v>420</v>
      </c>
      <c r="C360" s="14"/>
      <c r="D360" s="20"/>
      <c r="E360" s="20"/>
      <c r="F360" s="20"/>
      <c r="G360" s="45"/>
      <c r="H360" s="45"/>
      <c r="I360" s="45"/>
      <c r="J360" s="20"/>
      <c r="K360" s="20"/>
      <c r="L360" s="20"/>
      <c r="M360" s="20"/>
      <c r="N360" s="20"/>
      <c r="O360" s="20"/>
      <c r="P360" s="20"/>
      <c r="Q360" s="20"/>
    </row>
    <row r="361" spans="1:44" x14ac:dyDescent="0.25">
      <c r="A361" s="14" t="s">
        <v>460</v>
      </c>
      <c r="B361" s="14" t="s">
        <v>461</v>
      </c>
      <c r="C361" s="14" t="s">
        <v>462</v>
      </c>
      <c r="D361" s="20"/>
      <c r="E361" s="20"/>
      <c r="F361" s="20"/>
      <c r="G361" s="45"/>
      <c r="H361" s="45"/>
      <c r="I361" s="45"/>
      <c r="J361" s="20"/>
      <c r="K361" s="20"/>
      <c r="L361" s="20"/>
      <c r="M361" s="20"/>
      <c r="N361" s="20"/>
      <c r="O361" s="20"/>
      <c r="P361" s="20"/>
      <c r="Q361" s="20"/>
    </row>
    <row r="362" spans="1:44" x14ac:dyDescent="0.25">
      <c r="A362" s="14" t="s">
        <v>4</v>
      </c>
      <c r="B362" s="14" t="s">
        <v>23</v>
      </c>
      <c r="C362" s="14"/>
      <c r="D362" s="20"/>
      <c r="E362" s="20"/>
      <c r="F362" s="20"/>
      <c r="G362" s="45"/>
      <c r="H362" s="45"/>
      <c r="I362" s="45"/>
      <c r="J362" s="20"/>
      <c r="K362" s="20"/>
      <c r="L362" s="20"/>
      <c r="M362" s="20"/>
      <c r="N362" s="20"/>
      <c r="O362" s="20"/>
      <c r="P362" s="20"/>
      <c r="Q362" s="20"/>
    </row>
    <row r="363" spans="1:44" x14ac:dyDescent="0.25">
      <c r="A363" s="14" t="s">
        <v>1073</v>
      </c>
      <c r="B363" s="14" t="s">
        <v>1074</v>
      </c>
      <c r="C363" s="14" t="s">
        <v>1075</v>
      </c>
      <c r="D363" s="20">
        <f>14</f>
        <v>14</v>
      </c>
      <c r="E363" s="20">
        <f>14</f>
        <v>14</v>
      </c>
      <c r="F363" s="20">
        <f>14</f>
        <v>14</v>
      </c>
      <c r="G363" s="20">
        <f>14</f>
        <v>14</v>
      </c>
      <c r="H363" s="20">
        <f>14</f>
        <v>14</v>
      </c>
      <c r="I363" s="20">
        <f>14</f>
        <v>14</v>
      </c>
      <c r="J363" s="20">
        <f>14</f>
        <v>14</v>
      </c>
      <c r="K363" s="20">
        <f>14</f>
        <v>14</v>
      </c>
      <c r="L363" s="20">
        <f>14</f>
        <v>14</v>
      </c>
      <c r="M363" s="20">
        <f>14</f>
        <v>14</v>
      </c>
      <c r="N363" s="20">
        <f>14</f>
        <v>14</v>
      </c>
      <c r="O363" s="20">
        <f>14</f>
        <v>14</v>
      </c>
      <c r="P363" s="20">
        <f>14</f>
        <v>14</v>
      </c>
      <c r="Q363" s="20">
        <f>14</f>
        <v>14</v>
      </c>
    </row>
    <row r="364" spans="1:44" x14ac:dyDescent="0.25">
      <c r="A364" s="14" t="s">
        <v>3</v>
      </c>
      <c r="B364" s="14" t="s">
        <v>22</v>
      </c>
      <c r="C364" s="14"/>
      <c r="D364" s="21"/>
      <c r="E364" s="20"/>
      <c r="F364" s="20"/>
      <c r="G364" s="45"/>
      <c r="H364" s="45"/>
      <c r="I364" s="45"/>
      <c r="J364" s="20"/>
      <c r="K364" s="20"/>
      <c r="L364" s="20"/>
      <c r="M364" s="20"/>
      <c r="N364" s="20"/>
      <c r="O364" s="20"/>
      <c r="P364" s="20"/>
      <c r="Q364" s="20"/>
    </row>
    <row r="365" spans="1:44" x14ac:dyDescent="0.25">
      <c r="A365" s="14" t="s">
        <v>1076</v>
      </c>
      <c r="B365" s="14" t="s">
        <v>1077</v>
      </c>
      <c r="C365" s="14" t="s">
        <v>1078</v>
      </c>
      <c r="D365" s="21">
        <f>6</f>
        <v>6</v>
      </c>
      <c r="E365" s="21">
        <f>6</f>
        <v>6</v>
      </c>
      <c r="F365" s="21">
        <f>6</f>
        <v>6</v>
      </c>
      <c r="G365" s="21">
        <f>6</f>
        <v>6</v>
      </c>
      <c r="H365" s="21">
        <f>6</f>
        <v>6</v>
      </c>
      <c r="I365" s="21">
        <f>6</f>
        <v>6</v>
      </c>
      <c r="J365" s="21">
        <f>6</f>
        <v>6</v>
      </c>
      <c r="K365" s="21"/>
      <c r="L365" s="21">
        <f>6</f>
        <v>6</v>
      </c>
      <c r="M365" s="21">
        <f>6</f>
        <v>6</v>
      </c>
      <c r="N365" s="21">
        <f>6</f>
        <v>6</v>
      </c>
      <c r="O365" s="21">
        <f>6</f>
        <v>6</v>
      </c>
      <c r="P365" s="21">
        <f>6</f>
        <v>6</v>
      </c>
      <c r="Q365" s="21">
        <f>6</f>
        <v>6</v>
      </c>
    </row>
    <row r="366" spans="1:44" x14ac:dyDescent="0.25">
      <c r="A366" s="168" t="s">
        <v>1136</v>
      </c>
      <c r="B366" s="168" t="s">
        <v>1137</v>
      </c>
      <c r="C366" s="168" t="s">
        <v>1078</v>
      </c>
      <c r="D366" s="21">
        <f>5</f>
        <v>5</v>
      </c>
      <c r="E366" s="21">
        <f>5</f>
        <v>5</v>
      </c>
      <c r="F366" s="21">
        <f>5</f>
        <v>5</v>
      </c>
      <c r="G366" s="21">
        <f>5</f>
        <v>5</v>
      </c>
      <c r="H366" s="21">
        <f>5</f>
        <v>5</v>
      </c>
      <c r="I366" s="21">
        <f>5</f>
        <v>5</v>
      </c>
      <c r="J366" s="21">
        <f>5</f>
        <v>5</v>
      </c>
      <c r="K366" s="21">
        <f>5</f>
        <v>5</v>
      </c>
      <c r="L366" s="21">
        <f>5</f>
        <v>5</v>
      </c>
      <c r="M366" s="21">
        <f>5</f>
        <v>5</v>
      </c>
      <c r="N366" s="21">
        <f>5</f>
        <v>5</v>
      </c>
      <c r="O366" s="21">
        <f>5</f>
        <v>5</v>
      </c>
      <c r="P366" s="21">
        <f>5</f>
        <v>5</v>
      </c>
      <c r="Q366" s="21">
        <f>5</f>
        <v>5</v>
      </c>
    </row>
    <row r="367" spans="1:44" s="69" customFormat="1" x14ac:dyDescent="0.25">
      <c r="A367" s="262" t="s">
        <v>1193</v>
      </c>
      <c r="B367" s="263"/>
      <c r="C367" s="172"/>
      <c r="D367" s="63">
        <f>SUM(D360:D366)</f>
        <v>25</v>
      </c>
      <c r="E367" s="63">
        <f t="shared" ref="E367:Q367" si="60">SUM(E360:E366)</f>
        <v>25</v>
      </c>
      <c r="F367" s="63">
        <f t="shared" si="60"/>
        <v>25</v>
      </c>
      <c r="G367" s="63">
        <f t="shared" si="60"/>
        <v>25</v>
      </c>
      <c r="H367" s="63">
        <f t="shared" si="60"/>
        <v>25</v>
      </c>
      <c r="I367" s="63">
        <f t="shared" si="60"/>
        <v>25</v>
      </c>
      <c r="J367" s="63">
        <f t="shared" si="60"/>
        <v>25</v>
      </c>
      <c r="K367" s="63">
        <f t="shared" si="60"/>
        <v>19</v>
      </c>
      <c r="L367" s="63">
        <f t="shared" si="60"/>
        <v>25</v>
      </c>
      <c r="M367" s="63">
        <f t="shared" si="60"/>
        <v>25</v>
      </c>
      <c r="N367" s="63">
        <f t="shared" si="60"/>
        <v>25</v>
      </c>
      <c r="O367" s="63">
        <f t="shared" si="60"/>
        <v>25</v>
      </c>
      <c r="P367" s="63">
        <f t="shared" si="60"/>
        <v>25</v>
      </c>
      <c r="Q367" s="63">
        <f t="shared" si="60"/>
        <v>25</v>
      </c>
    </row>
    <row r="368" spans="1:44" x14ac:dyDescent="0.25">
      <c r="A368" s="257" t="s">
        <v>8</v>
      </c>
      <c r="B368" s="259"/>
      <c r="C368" s="14"/>
      <c r="D368" s="20"/>
      <c r="E368" s="20"/>
      <c r="F368" s="20"/>
      <c r="G368" s="45"/>
      <c r="H368" s="45"/>
      <c r="I368" s="45"/>
      <c r="J368" s="20"/>
      <c r="K368" s="20"/>
      <c r="L368" s="20"/>
      <c r="M368" s="20"/>
      <c r="N368" s="20"/>
      <c r="O368" s="20"/>
      <c r="P368" s="20"/>
      <c r="Q368" s="20"/>
    </row>
    <row r="369" spans="1:17" ht="15.75" customHeight="1" x14ac:dyDescent="0.25">
      <c r="A369" s="14" t="s">
        <v>9</v>
      </c>
      <c r="B369" s="55" t="s">
        <v>8</v>
      </c>
      <c r="C369" s="14"/>
      <c r="D369" s="20"/>
      <c r="E369" s="20"/>
      <c r="F369" s="20"/>
      <c r="G369" s="45"/>
      <c r="H369" s="45"/>
      <c r="I369" s="45"/>
      <c r="J369" s="20"/>
      <c r="K369" s="20"/>
      <c r="L369" s="20"/>
      <c r="M369" s="20"/>
      <c r="N369" s="20"/>
      <c r="O369" s="20"/>
      <c r="P369" s="20"/>
      <c r="Q369" s="20"/>
    </row>
    <row r="370" spans="1:17" x14ac:dyDescent="0.25">
      <c r="A370" s="14" t="s">
        <v>468</v>
      </c>
      <c r="B370" s="55" t="s">
        <v>466</v>
      </c>
      <c r="C370" s="14" t="s">
        <v>467</v>
      </c>
      <c r="D370" s="20"/>
      <c r="E370" s="20"/>
      <c r="F370" s="20">
        <f>1</f>
        <v>1</v>
      </c>
      <c r="G370" s="20">
        <f>1</f>
        <v>1</v>
      </c>
      <c r="H370" s="20">
        <f>1</f>
        <v>1</v>
      </c>
      <c r="I370" s="20">
        <f>1</f>
        <v>1</v>
      </c>
      <c r="J370" s="20">
        <f>1</f>
        <v>1</v>
      </c>
      <c r="K370" s="20">
        <f>1</f>
        <v>1</v>
      </c>
      <c r="L370" s="20">
        <f>1</f>
        <v>1</v>
      </c>
      <c r="M370" s="20">
        <f>1</f>
        <v>1</v>
      </c>
      <c r="N370" s="20">
        <f>1</f>
        <v>1</v>
      </c>
      <c r="O370" s="20">
        <f>1</f>
        <v>1</v>
      </c>
      <c r="P370" s="20">
        <f>1</f>
        <v>1</v>
      </c>
      <c r="Q370" s="20">
        <f>1</f>
        <v>1</v>
      </c>
    </row>
    <row r="371" spans="1:17" ht="17.25" customHeight="1" x14ac:dyDescent="0.25">
      <c r="A371" s="270" t="s">
        <v>247</v>
      </c>
      <c r="B371" s="271"/>
      <c r="C371" s="14"/>
      <c r="D371" s="20"/>
      <c r="E371" s="20"/>
      <c r="F371" s="20"/>
      <c r="G371" s="45"/>
      <c r="H371" s="45"/>
      <c r="I371" s="45"/>
      <c r="J371" s="20"/>
      <c r="K371" s="20"/>
      <c r="L371" s="20"/>
      <c r="M371" s="20"/>
      <c r="N371" s="20"/>
      <c r="O371" s="20"/>
      <c r="P371" s="20"/>
      <c r="Q371" s="20"/>
    </row>
    <row r="372" spans="1:17" x14ac:dyDescent="0.25">
      <c r="A372" s="14" t="s">
        <v>437</v>
      </c>
      <c r="B372" s="14" t="s">
        <v>438</v>
      </c>
      <c r="C372" s="14"/>
      <c r="D372" s="20"/>
      <c r="E372" s="20"/>
      <c r="F372" s="20"/>
      <c r="G372" s="45"/>
      <c r="H372" s="45"/>
      <c r="I372" s="45"/>
      <c r="J372" s="20"/>
      <c r="K372" s="20"/>
      <c r="L372" s="20"/>
      <c r="M372" s="20"/>
      <c r="N372" s="20"/>
      <c r="O372" s="20"/>
      <c r="P372" s="20"/>
      <c r="Q372" s="20"/>
    </row>
    <row r="373" spans="1:17" x14ac:dyDescent="0.25">
      <c r="A373" s="14" t="s">
        <v>463</v>
      </c>
      <c r="B373" s="14" t="s">
        <v>464</v>
      </c>
      <c r="C373" s="14" t="s">
        <v>465</v>
      </c>
      <c r="D373" s="20"/>
      <c r="E373" s="20"/>
      <c r="F373" s="20"/>
      <c r="G373" s="45"/>
      <c r="H373" s="45"/>
      <c r="I373" s="45"/>
      <c r="J373" s="20"/>
      <c r="K373" s="20"/>
      <c r="L373" s="20"/>
      <c r="M373" s="20"/>
      <c r="N373" s="20"/>
      <c r="O373" s="20"/>
      <c r="P373" s="20"/>
      <c r="Q373" s="20"/>
    </row>
    <row r="374" spans="1:17" s="196" customFormat="1" x14ac:dyDescent="0.25">
      <c r="A374" s="254" t="s">
        <v>1194</v>
      </c>
      <c r="B374" s="255"/>
      <c r="C374" s="66"/>
      <c r="D374" s="64">
        <f>0</f>
        <v>0</v>
      </c>
      <c r="E374" s="64">
        <f>0</f>
        <v>0</v>
      </c>
      <c r="F374" s="64">
        <f>1</f>
        <v>1</v>
      </c>
      <c r="G374" s="64">
        <f>1</f>
        <v>1</v>
      </c>
      <c r="H374" s="64">
        <f>1</f>
        <v>1</v>
      </c>
      <c r="I374" s="64">
        <f>1</f>
        <v>1</v>
      </c>
      <c r="J374" s="64">
        <f>1</f>
        <v>1</v>
      </c>
      <c r="K374" s="64">
        <f>1</f>
        <v>1</v>
      </c>
      <c r="L374" s="64">
        <f>1</f>
        <v>1</v>
      </c>
      <c r="M374" s="64">
        <f>1</f>
        <v>1</v>
      </c>
      <c r="N374" s="64">
        <f>1</f>
        <v>1</v>
      </c>
      <c r="O374" s="64">
        <f>1</f>
        <v>1</v>
      </c>
      <c r="P374" s="64">
        <f>1</f>
        <v>1</v>
      </c>
      <c r="Q374" s="64">
        <f>1</f>
        <v>1</v>
      </c>
    </row>
    <row r="375" spans="1:17" ht="18" customHeight="1" x14ac:dyDescent="0.25">
      <c r="A375" s="257" t="s">
        <v>38</v>
      </c>
      <c r="B375" s="259"/>
      <c r="C375" s="14"/>
      <c r="D375" s="20"/>
      <c r="E375" s="20"/>
      <c r="F375" s="20"/>
      <c r="G375" s="45"/>
      <c r="H375" s="45"/>
      <c r="I375" s="45"/>
      <c r="J375" s="20"/>
      <c r="K375" s="20"/>
      <c r="L375" s="20"/>
      <c r="M375" s="20"/>
      <c r="N375" s="20"/>
      <c r="O375" s="20"/>
      <c r="P375" s="20"/>
      <c r="Q375" s="20"/>
    </row>
    <row r="376" spans="1:17" x14ac:dyDescent="0.25">
      <c r="A376" s="14" t="s">
        <v>156</v>
      </c>
      <c r="B376" s="270" t="s">
        <v>40</v>
      </c>
      <c r="C376" s="271"/>
      <c r="D376" s="20"/>
      <c r="E376" s="20"/>
      <c r="F376" s="20"/>
      <c r="G376" s="45"/>
      <c r="H376" s="45"/>
      <c r="I376" s="45"/>
      <c r="J376" s="20"/>
      <c r="K376" s="20"/>
      <c r="L376" s="20"/>
      <c r="M376" s="20"/>
      <c r="N376" s="20"/>
      <c r="O376" s="20"/>
      <c r="P376" s="20"/>
      <c r="Q376" s="20"/>
    </row>
    <row r="377" spans="1:17" ht="30" x14ac:dyDescent="0.25">
      <c r="A377" s="14" t="s">
        <v>157</v>
      </c>
      <c r="B377" s="14" t="s">
        <v>155</v>
      </c>
      <c r="C377" s="14" t="s">
        <v>202</v>
      </c>
      <c r="D377" s="20">
        <f>1</f>
        <v>1</v>
      </c>
      <c r="E377" s="20">
        <f>1</f>
        <v>1</v>
      </c>
      <c r="F377" s="20">
        <f>1</f>
        <v>1</v>
      </c>
      <c r="G377" s="45"/>
      <c r="H377" s="45"/>
      <c r="I377" s="45"/>
      <c r="J377" s="20">
        <f>1</f>
        <v>1</v>
      </c>
      <c r="K377" s="20">
        <f>1</f>
        <v>1</v>
      </c>
      <c r="L377" s="20">
        <f>1</f>
        <v>1</v>
      </c>
      <c r="M377" s="20"/>
      <c r="N377" s="20"/>
      <c r="O377" s="20"/>
      <c r="P377" s="20"/>
      <c r="Q377" s="20"/>
    </row>
    <row r="378" spans="1:17" x14ac:dyDescent="0.25">
      <c r="A378" s="14" t="s">
        <v>95</v>
      </c>
      <c r="B378" s="270" t="s">
        <v>116</v>
      </c>
      <c r="C378" s="271"/>
      <c r="D378" s="20"/>
      <c r="E378" s="20"/>
      <c r="F378" s="20"/>
      <c r="G378" s="45"/>
      <c r="H378" s="45"/>
      <c r="I378" s="45"/>
      <c r="J378" s="20"/>
      <c r="K378" s="20"/>
      <c r="L378" s="20"/>
      <c r="M378" s="20"/>
      <c r="N378" s="20"/>
      <c r="O378" s="20"/>
      <c r="P378" s="20"/>
      <c r="Q378" s="20"/>
    </row>
    <row r="379" spans="1:17" ht="78" customHeight="1" x14ac:dyDescent="0.25">
      <c r="A379" s="35" t="s">
        <v>171</v>
      </c>
      <c r="B379" s="35" t="s">
        <v>102</v>
      </c>
      <c r="C379" s="14" t="s">
        <v>572</v>
      </c>
      <c r="D379" s="20">
        <f>3</f>
        <v>3</v>
      </c>
      <c r="E379" s="20">
        <f>3</f>
        <v>3</v>
      </c>
      <c r="F379" s="20">
        <f>3</f>
        <v>3</v>
      </c>
      <c r="G379" s="20">
        <f>3</f>
        <v>3</v>
      </c>
      <c r="H379" s="20">
        <f>3</f>
        <v>3</v>
      </c>
      <c r="I379" s="20">
        <f>3</f>
        <v>3</v>
      </c>
      <c r="J379" s="20">
        <f>3</f>
        <v>3</v>
      </c>
      <c r="K379" s="20">
        <f>3</f>
        <v>3</v>
      </c>
      <c r="L379" s="20">
        <f>3</f>
        <v>3</v>
      </c>
      <c r="M379" s="20">
        <f>3</f>
        <v>3</v>
      </c>
      <c r="N379" s="20">
        <f>3</f>
        <v>3</v>
      </c>
      <c r="O379" s="20">
        <f>3</f>
        <v>3</v>
      </c>
      <c r="P379" s="20">
        <f>3</f>
        <v>3</v>
      </c>
      <c r="Q379" s="20">
        <f>3</f>
        <v>3</v>
      </c>
    </row>
    <row r="380" spans="1:17" ht="75" x14ac:dyDescent="0.25">
      <c r="A380" s="14" t="s">
        <v>100</v>
      </c>
      <c r="B380" s="14" t="s">
        <v>101</v>
      </c>
      <c r="C380" s="14" t="s">
        <v>573</v>
      </c>
      <c r="D380" s="20">
        <f>1</f>
        <v>1</v>
      </c>
      <c r="E380" s="20">
        <f>1</f>
        <v>1</v>
      </c>
      <c r="F380" s="20">
        <f>1</f>
        <v>1</v>
      </c>
      <c r="G380" s="20">
        <f>1</f>
        <v>1</v>
      </c>
      <c r="H380" s="20">
        <f>1</f>
        <v>1</v>
      </c>
      <c r="I380" s="20">
        <f>1</f>
        <v>1</v>
      </c>
      <c r="J380" s="20"/>
      <c r="K380" s="20"/>
      <c r="L380" s="20"/>
      <c r="M380" s="20"/>
      <c r="N380" s="20">
        <f>1</f>
        <v>1</v>
      </c>
      <c r="O380" s="20">
        <f>1</f>
        <v>1</v>
      </c>
      <c r="P380" s="20">
        <f>1</f>
        <v>1</v>
      </c>
      <c r="Q380" s="20">
        <f>1</f>
        <v>1</v>
      </c>
    </row>
    <row r="381" spans="1:17" ht="77.25" customHeight="1" x14ac:dyDescent="0.25">
      <c r="A381" s="24" t="s">
        <v>172</v>
      </c>
      <c r="B381" s="24" t="s">
        <v>173</v>
      </c>
      <c r="C381" s="24" t="s">
        <v>574</v>
      </c>
      <c r="D381" s="20"/>
      <c r="E381" s="20">
        <f>1</f>
        <v>1</v>
      </c>
      <c r="F381" s="20">
        <f>1</f>
        <v>1</v>
      </c>
      <c r="G381" s="20">
        <f>1</f>
        <v>1</v>
      </c>
      <c r="H381" s="45"/>
      <c r="I381" s="45"/>
      <c r="J381" s="20"/>
      <c r="K381" s="20"/>
      <c r="L381" s="20"/>
      <c r="M381" s="20"/>
      <c r="N381" s="20"/>
      <c r="O381" s="20"/>
      <c r="P381" s="20"/>
      <c r="Q381" s="20"/>
    </row>
    <row r="382" spans="1:17" ht="60" x14ac:dyDescent="0.25">
      <c r="A382" s="24" t="s">
        <v>529</v>
      </c>
      <c r="B382" s="24" t="s">
        <v>530</v>
      </c>
      <c r="C382" s="24" t="s">
        <v>528</v>
      </c>
      <c r="D382" s="20"/>
      <c r="E382" s="20"/>
      <c r="F382" s="20">
        <f>1</f>
        <v>1</v>
      </c>
      <c r="G382" s="20">
        <f>1</f>
        <v>1</v>
      </c>
      <c r="H382" s="20">
        <f>1</f>
        <v>1</v>
      </c>
      <c r="I382" s="45">
        <f>1</f>
        <v>1</v>
      </c>
      <c r="J382" s="20"/>
      <c r="K382" s="20"/>
      <c r="L382" s="20"/>
      <c r="M382" s="20"/>
      <c r="N382" s="20"/>
      <c r="O382" s="20"/>
      <c r="P382" s="20"/>
      <c r="Q382" s="20"/>
    </row>
    <row r="383" spans="1:17" ht="16.5" customHeight="1" x14ac:dyDescent="0.25">
      <c r="A383" s="24" t="s">
        <v>531</v>
      </c>
      <c r="B383" s="24" t="s">
        <v>532</v>
      </c>
      <c r="C383" s="24" t="s">
        <v>533</v>
      </c>
      <c r="D383" s="20">
        <f>1</f>
        <v>1</v>
      </c>
      <c r="E383" s="20">
        <f>1</f>
        <v>1</v>
      </c>
      <c r="F383" s="20">
        <f>1</f>
        <v>1</v>
      </c>
      <c r="G383" s="20">
        <f>1</f>
        <v>1</v>
      </c>
      <c r="H383" s="20">
        <f>1</f>
        <v>1</v>
      </c>
      <c r="I383" s="20">
        <f>1</f>
        <v>1</v>
      </c>
      <c r="J383" s="20">
        <f>1</f>
        <v>1</v>
      </c>
      <c r="K383" s="20">
        <f>1</f>
        <v>1</v>
      </c>
      <c r="L383" s="20">
        <f>1</f>
        <v>1</v>
      </c>
      <c r="M383" s="20">
        <f>1</f>
        <v>1</v>
      </c>
      <c r="N383" s="20">
        <f>1</f>
        <v>1</v>
      </c>
      <c r="O383" s="20">
        <f>1</f>
        <v>1</v>
      </c>
      <c r="P383" s="20">
        <f>1</f>
        <v>1</v>
      </c>
      <c r="Q383" s="20">
        <f>1</f>
        <v>1</v>
      </c>
    </row>
    <row r="384" spans="1:17" x14ac:dyDescent="0.25">
      <c r="A384" s="14" t="s">
        <v>11</v>
      </c>
      <c r="B384" s="14" t="s">
        <v>12</v>
      </c>
      <c r="C384" s="14"/>
      <c r="D384" s="20"/>
      <c r="E384" s="20"/>
      <c r="F384" s="20"/>
      <c r="G384" s="45"/>
      <c r="H384" s="45"/>
      <c r="I384" s="45"/>
      <c r="J384" s="20"/>
      <c r="K384" s="20"/>
      <c r="L384" s="20"/>
      <c r="M384" s="20"/>
      <c r="N384" s="20"/>
      <c r="O384" s="20"/>
      <c r="P384" s="20"/>
      <c r="Q384" s="20"/>
    </row>
    <row r="385" spans="1:17" ht="30" x14ac:dyDescent="0.25">
      <c r="A385" s="14" t="s">
        <v>236</v>
      </c>
      <c r="B385" s="14" t="s">
        <v>237</v>
      </c>
      <c r="C385" s="14" t="s">
        <v>534</v>
      </c>
      <c r="D385" s="20">
        <f>1</f>
        <v>1</v>
      </c>
      <c r="E385" s="20">
        <f>1</f>
        <v>1</v>
      </c>
      <c r="F385" s="20">
        <f>1</f>
        <v>1</v>
      </c>
      <c r="G385" s="20">
        <f>1</f>
        <v>1</v>
      </c>
      <c r="H385" s="20">
        <f>1</f>
        <v>1</v>
      </c>
      <c r="I385" s="20">
        <f>1</f>
        <v>1</v>
      </c>
      <c r="J385" s="20">
        <f>1</f>
        <v>1</v>
      </c>
      <c r="K385" s="20">
        <f>1</f>
        <v>1</v>
      </c>
      <c r="L385" s="20">
        <f>1</f>
        <v>1</v>
      </c>
      <c r="M385" s="20">
        <f>1</f>
        <v>1</v>
      </c>
      <c r="N385" s="20">
        <f>1</f>
        <v>1</v>
      </c>
      <c r="O385" s="20">
        <f>1</f>
        <v>1</v>
      </c>
      <c r="P385" s="20">
        <f>1</f>
        <v>1</v>
      </c>
      <c r="Q385" s="20">
        <f>1</f>
        <v>1</v>
      </c>
    </row>
    <row r="386" spans="1:17" ht="90" x14ac:dyDescent="0.25">
      <c r="A386" s="14" t="s">
        <v>273</v>
      </c>
      <c r="B386" s="14" t="s">
        <v>274</v>
      </c>
      <c r="C386" s="14" t="s">
        <v>535</v>
      </c>
      <c r="D386" s="20"/>
      <c r="E386" s="20"/>
      <c r="F386" s="20">
        <f>1</f>
        <v>1</v>
      </c>
      <c r="G386" s="20">
        <f>1</f>
        <v>1</v>
      </c>
      <c r="H386" s="45"/>
      <c r="I386" s="45"/>
      <c r="J386" s="20"/>
      <c r="K386" s="20"/>
      <c r="L386" s="20"/>
      <c r="M386" s="20"/>
      <c r="N386" s="20"/>
      <c r="O386" s="20"/>
      <c r="P386" s="20"/>
      <c r="Q386" s="20"/>
    </row>
    <row r="387" spans="1:17" ht="45" x14ac:dyDescent="0.25">
      <c r="A387" s="14" t="s">
        <v>152</v>
      </c>
      <c r="B387" s="213" t="s">
        <v>151</v>
      </c>
      <c r="C387" s="24" t="s">
        <v>536</v>
      </c>
      <c r="D387" s="20"/>
      <c r="E387" s="20"/>
      <c r="F387" s="20">
        <f>1</f>
        <v>1</v>
      </c>
      <c r="G387" s="20">
        <f>1</f>
        <v>1</v>
      </c>
      <c r="H387" s="20">
        <f>1</f>
        <v>1</v>
      </c>
      <c r="I387" s="20">
        <f>1</f>
        <v>1</v>
      </c>
      <c r="J387" s="20">
        <f>1</f>
        <v>1</v>
      </c>
      <c r="K387" s="20"/>
      <c r="L387" s="20"/>
      <c r="M387" s="20"/>
      <c r="N387" s="20"/>
      <c r="O387" s="20"/>
      <c r="P387" s="20"/>
      <c r="Q387" s="20"/>
    </row>
    <row r="388" spans="1:17" ht="15" customHeight="1" x14ac:dyDescent="0.25">
      <c r="A388" s="14" t="s">
        <v>174</v>
      </c>
      <c r="B388" s="26" t="s">
        <v>175</v>
      </c>
      <c r="C388" s="14" t="s">
        <v>224</v>
      </c>
      <c r="D388" s="20">
        <f>1</f>
        <v>1</v>
      </c>
      <c r="E388" s="20">
        <f>1</f>
        <v>1</v>
      </c>
      <c r="F388" s="20">
        <f>1</f>
        <v>1</v>
      </c>
      <c r="G388" s="20">
        <f>1</f>
        <v>1</v>
      </c>
      <c r="H388" s="20">
        <f>1</f>
        <v>1</v>
      </c>
      <c r="I388" s="20">
        <f>1</f>
        <v>1</v>
      </c>
      <c r="J388" s="20">
        <f>1</f>
        <v>1</v>
      </c>
      <c r="K388" s="20">
        <f>1</f>
        <v>1</v>
      </c>
      <c r="L388" s="20">
        <f>1</f>
        <v>1</v>
      </c>
      <c r="M388" s="20">
        <f>1</f>
        <v>1</v>
      </c>
      <c r="N388" s="20">
        <f>1</f>
        <v>1</v>
      </c>
      <c r="O388" s="20">
        <f>1</f>
        <v>1</v>
      </c>
      <c r="P388" s="20">
        <f>1</f>
        <v>1</v>
      </c>
      <c r="Q388" s="20">
        <f>1</f>
        <v>1</v>
      </c>
    </row>
    <row r="389" spans="1:17" x14ac:dyDescent="0.25">
      <c r="A389" s="14" t="s">
        <v>275</v>
      </c>
      <c r="B389" s="42" t="s">
        <v>276</v>
      </c>
      <c r="C389" s="55" t="s">
        <v>277</v>
      </c>
      <c r="D389" s="21">
        <f>1</f>
        <v>1</v>
      </c>
      <c r="E389" s="21">
        <f>1</f>
        <v>1</v>
      </c>
      <c r="F389" s="21"/>
      <c r="G389" s="21">
        <f>1</f>
        <v>1</v>
      </c>
      <c r="H389" s="21">
        <f>1</f>
        <v>1</v>
      </c>
      <c r="I389" s="21">
        <f>1</f>
        <v>1</v>
      </c>
      <c r="J389" s="21">
        <f>1</f>
        <v>1</v>
      </c>
      <c r="K389" s="21">
        <f>1</f>
        <v>1</v>
      </c>
      <c r="L389" s="21">
        <f>1</f>
        <v>1</v>
      </c>
      <c r="M389" s="21">
        <f>1</f>
        <v>1</v>
      </c>
      <c r="N389" s="21">
        <f>1</f>
        <v>1</v>
      </c>
      <c r="O389" s="21">
        <f>1</f>
        <v>1</v>
      </c>
      <c r="P389" s="21">
        <f>1</f>
        <v>1</v>
      </c>
      <c r="Q389" s="21">
        <f>1</f>
        <v>1</v>
      </c>
    </row>
    <row r="390" spans="1:17" ht="25.5" customHeight="1" x14ac:dyDescent="0.25">
      <c r="A390" s="14" t="s">
        <v>469</v>
      </c>
      <c r="B390" s="26" t="s">
        <v>470</v>
      </c>
      <c r="C390" s="14" t="s">
        <v>471</v>
      </c>
      <c r="D390" s="20">
        <f>1</f>
        <v>1</v>
      </c>
      <c r="E390" s="20">
        <f>1</f>
        <v>1</v>
      </c>
      <c r="F390" s="20">
        <f>1</f>
        <v>1</v>
      </c>
      <c r="G390" s="43"/>
      <c r="H390" s="43"/>
      <c r="I390" s="43"/>
      <c r="J390" s="21"/>
      <c r="K390" s="21"/>
      <c r="L390" s="21"/>
      <c r="M390" s="21"/>
      <c r="N390" s="21"/>
      <c r="O390" s="21"/>
      <c r="P390" s="21"/>
      <c r="Q390" s="21"/>
    </row>
    <row r="391" spans="1:17" ht="30" x14ac:dyDescent="0.25">
      <c r="A391" s="14" t="s">
        <v>537</v>
      </c>
      <c r="B391" s="26" t="s">
        <v>538</v>
      </c>
      <c r="C391" s="14" t="s">
        <v>539</v>
      </c>
      <c r="D391" s="20">
        <f>1</f>
        <v>1</v>
      </c>
      <c r="E391" s="20">
        <f>1</f>
        <v>1</v>
      </c>
      <c r="F391" s="20">
        <f>1</f>
        <v>1</v>
      </c>
      <c r="G391" s="20">
        <f>1</f>
        <v>1</v>
      </c>
      <c r="H391" s="20">
        <f>1</f>
        <v>1</v>
      </c>
      <c r="I391" s="20">
        <f>1</f>
        <v>1</v>
      </c>
      <c r="J391" s="20">
        <f>1</f>
        <v>1</v>
      </c>
      <c r="K391" s="21"/>
      <c r="L391" s="21"/>
      <c r="M391" s="21"/>
      <c r="N391" s="21"/>
      <c r="O391" s="21"/>
      <c r="P391" s="21"/>
      <c r="Q391" s="21"/>
    </row>
    <row r="392" spans="1:17" ht="14.25" customHeight="1" x14ac:dyDescent="0.25">
      <c r="A392" s="14" t="s">
        <v>13</v>
      </c>
      <c r="B392" s="270" t="s">
        <v>14</v>
      </c>
      <c r="C392" s="271"/>
      <c r="D392" s="21"/>
      <c r="E392" s="21"/>
      <c r="F392" s="21"/>
      <c r="G392" s="43"/>
      <c r="H392" s="43"/>
      <c r="I392" s="43"/>
      <c r="J392" s="21"/>
      <c r="K392" s="21"/>
      <c r="L392" s="21"/>
      <c r="M392" s="21"/>
      <c r="N392" s="21"/>
      <c r="O392" s="21"/>
      <c r="P392" s="21"/>
      <c r="Q392" s="21"/>
    </row>
    <row r="393" spans="1:17" ht="69.75" customHeight="1" x14ac:dyDescent="0.25">
      <c r="A393" s="14" t="s">
        <v>540</v>
      </c>
      <c r="B393" s="14" t="s">
        <v>541</v>
      </c>
      <c r="C393" s="14" t="s">
        <v>1107</v>
      </c>
      <c r="D393" s="21"/>
      <c r="E393" s="21"/>
      <c r="F393" s="20">
        <f>1</f>
        <v>1</v>
      </c>
      <c r="G393" s="20">
        <f>1</f>
        <v>1</v>
      </c>
      <c r="H393" s="20">
        <f>1</f>
        <v>1</v>
      </c>
      <c r="I393" s="43"/>
      <c r="J393" s="21"/>
      <c r="K393" s="21"/>
      <c r="L393" s="21"/>
      <c r="M393" s="21"/>
      <c r="N393" s="21"/>
      <c r="O393" s="21"/>
      <c r="P393" s="21"/>
      <c r="Q393" s="21"/>
    </row>
    <row r="394" spans="1:17" ht="106.5" customHeight="1" x14ac:dyDescent="0.25">
      <c r="A394" s="14" t="s">
        <v>542</v>
      </c>
      <c r="B394" s="14" t="s">
        <v>543</v>
      </c>
      <c r="C394" s="14" t="s">
        <v>1104</v>
      </c>
      <c r="D394" s="21">
        <f>1</f>
        <v>1</v>
      </c>
      <c r="E394" s="21">
        <f>1</f>
        <v>1</v>
      </c>
      <c r="F394" s="21">
        <f>1</f>
        <v>1</v>
      </c>
      <c r="G394" s="21">
        <f>1</f>
        <v>1</v>
      </c>
      <c r="H394" s="21">
        <f>1</f>
        <v>1</v>
      </c>
      <c r="I394" s="21">
        <f>1</f>
        <v>1</v>
      </c>
      <c r="J394" s="21">
        <f>1</f>
        <v>1</v>
      </c>
      <c r="K394" s="21">
        <f>1</f>
        <v>1</v>
      </c>
      <c r="L394" s="21">
        <f>1</f>
        <v>1</v>
      </c>
      <c r="M394" s="21">
        <f>1</f>
        <v>1</v>
      </c>
      <c r="N394" s="21">
        <f>1</f>
        <v>1</v>
      </c>
      <c r="O394" s="21">
        <f>1</f>
        <v>1</v>
      </c>
      <c r="P394" s="21">
        <f>1</f>
        <v>1</v>
      </c>
      <c r="Q394" s="21">
        <f>1</f>
        <v>1</v>
      </c>
    </row>
    <row r="395" spans="1:17" ht="123.75" customHeight="1" x14ac:dyDescent="0.25">
      <c r="A395" s="14" t="s">
        <v>562</v>
      </c>
      <c r="B395" s="14" t="s">
        <v>563</v>
      </c>
      <c r="C395" s="14" t="s">
        <v>1105</v>
      </c>
      <c r="D395" s="21">
        <f>1</f>
        <v>1</v>
      </c>
      <c r="E395" s="21">
        <f>1</f>
        <v>1</v>
      </c>
      <c r="F395" s="21">
        <f>1</f>
        <v>1</v>
      </c>
      <c r="G395" s="21">
        <f>1</f>
        <v>1</v>
      </c>
      <c r="H395" s="21">
        <f>1</f>
        <v>1</v>
      </c>
      <c r="I395" s="21">
        <f>1</f>
        <v>1</v>
      </c>
      <c r="J395" s="21">
        <f>1</f>
        <v>1</v>
      </c>
      <c r="K395" s="21">
        <f>1</f>
        <v>1</v>
      </c>
      <c r="L395" s="21">
        <f>1</f>
        <v>1</v>
      </c>
      <c r="M395" s="21">
        <f>1</f>
        <v>1</v>
      </c>
      <c r="N395" s="21">
        <f>1</f>
        <v>1</v>
      </c>
      <c r="O395" s="21">
        <f>1</f>
        <v>1</v>
      </c>
      <c r="P395" s="21">
        <f>1</f>
        <v>1</v>
      </c>
      <c r="Q395" s="21">
        <f>1</f>
        <v>1</v>
      </c>
    </row>
    <row r="396" spans="1:17" ht="51.75" customHeight="1" x14ac:dyDescent="0.25">
      <c r="A396" s="14" t="s">
        <v>564</v>
      </c>
      <c r="B396" s="14" t="s">
        <v>565</v>
      </c>
      <c r="C396" s="14" t="s">
        <v>1106</v>
      </c>
      <c r="D396" s="21"/>
      <c r="E396" s="21"/>
      <c r="F396" s="21">
        <f>1</f>
        <v>1</v>
      </c>
      <c r="G396" s="21">
        <f>1</f>
        <v>1</v>
      </c>
      <c r="H396" s="21">
        <f>1</f>
        <v>1</v>
      </c>
      <c r="I396" s="21">
        <f>1</f>
        <v>1</v>
      </c>
      <c r="J396" s="21">
        <f>1</f>
        <v>1</v>
      </c>
      <c r="K396" s="21">
        <f>1</f>
        <v>1</v>
      </c>
      <c r="L396" s="21">
        <f>1</f>
        <v>1</v>
      </c>
      <c r="M396" s="21">
        <f>1</f>
        <v>1</v>
      </c>
      <c r="N396" s="21">
        <f>1</f>
        <v>1</v>
      </c>
      <c r="O396" s="21">
        <f>1</f>
        <v>1</v>
      </c>
      <c r="P396" s="21">
        <f>1</f>
        <v>1</v>
      </c>
      <c r="Q396" s="21">
        <f>1</f>
        <v>1</v>
      </c>
    </row>
    <row r="397" spans="1:17" ht="30" x14ac:dyDescent="0.25">
      <c r="A397" s="14" t="s">
        <v>566</v>
      </c>
      <c r="B397" s="14" t="s">
        <v>567</v>
      </c>
      <c r="C397" s="14" t="s">
        <v>568</v>
      </c>
      <c r="D397" s="21">
        <f>1</f>
        <v>1</v>
      </c>
      <c r="E397" s="21">
        <f>1</f>
        <v>1</v>
      </c>
      <c r="F397" s="21">
        <f>1</f>
        <v>1</v>
      </c>
      <c r="G397" s="21">
        <f>1</f>
        <v>1</v>
      </c>
      <c r="H397" s="21">
        <f>1</f>
        <v>1</v>
      </c>
      <c r="I397" s="21">
        <f>1</f>
        <v>1</v>
      </c>
      <c r="J397" s="21">
        <f>1</f>
        <v>1</v>
      </c>
      <c r="K397" s="21">
        <f>1</f>
        <v>1</v>
      </c>
      <c r="L397" s="21">
        <f>1</f>
        <v>1</v>
      </c>
      <c r="M397" s="21">
        <f>1</f>
        <v>1</v>
      </c>
      <c r="N397" s="21">
        <f>1</f>
        <v>1</v>
      </c>
      <c r="O397" s="21">
        <f>1</f>
        <v>1</v>
      </c>
      <c r="P397" s="21">
        <f>1</f>
        <v>1</v>
      </c>
      <c r="Q397" s="21">
        <f>1</f>
        <v>1</v>
      </c>
    </row>
    <row r="398" spans="1:17" ht="15.75" customHeight="1" x14ac:dyDescent="0.25">
      <c r="A398" s="14" t="s">
        <v>569</v>
      </c>
      <c r="B398" s="14" t="s">
        <v>570</v>
      </c>
      <c r="C398" s="14"/>
      <c r="D398" s="21"/>
      <c r="E398" s="21"/>
      <c r="F398" s="21"/>
      <c r="G398" s="43"/>
      <c r="H398" s="43"/>
      <c r="I398" s="43"/>
      <c r="J398" s="21"/>
      <c r="K398" s="21"/>
      <c r="L398" s="21"/>
      <c r="M398" s="21"/>
      <c r="N398" s="21"/>
      <c r="O398" s="21"/>
      <c r="P398" s="21"/>
      <c r="Q398" s="21"/>
    </row>
    <row r="399" spans="1:17" ht="31.5" customHeight="1" x14ac:dyDescent="0.25">
      <c r="A399" s="14" t="s">
        <v>544</v>
      </c>
      <c r="B399" s="14" t="s">
        <v>545</v>
      </c>
      <c r="C399" s="14" t="s">
        <v>546</v>
      </c>
      <c r="D399" s="21">
        <f>1</f>
        <v>1</v>
      </c>
      <c r="E399" s="21">
        <f>1</f>
        <v>1</v>
      </c>
      <c r="F399" s="21">
        <f>1</f>
        <v>1</v>
      </c>
      <c r="G399" s="43"/>
      <c r="H399" s="43"/>
      <c r="I399" s="43"/>
      <c r="J399" s="21"/>
      <c r="K399" s="21"/>
      <c r="L399" s="21"/>
      <c r="M399" s="21"/>
      <c r="N399" s="21"/>
      <c r="O399" s="21"/>
      <c r="P399" s="21"/>
      <c r="Q399" s="21"/>
    </row>
    <row r="400" spans="1:17" s="196" customFormat="1" ht="18.75" customHeight="1" x14ac:dyDescent="0.25">
      <c r="A400" s="256" t="s">
        <v>1196</v>
      </c>
      <c r="B400" s="256"/>
      <c r="C400" s="66"/>
      <c r="D400" s="63">
        <f>SUM(D377:D399)</f>
        <v>15</v>
      </c>
      <c r="E400" s="63">
        <f t="shared" ref="E400:Q400" si="61">SUM(E377:E399)</f>
        <v>16</v>
      </c>
      <c r="F400" s="63">
        <f t="shared" si="61"/>
        <v>20</v>
      </c>
      <c r="G400" s="63">
        <f t="shared" si="61"/>
        <v>18</v>
      </c>
      <c r="H400" s="63">
        <f t="shared" si="61"/>
        <v>16</v>
      </c>
      <c r="I400" s="63">
        <f t="shared" si="61"/>
        <v>15</v>
      </c>
      <c r="J400" s="63">
        <f t="shared" si="61"/>
        <v>14</v>
      </c>
      <c r="K400" s="63">
        <f t="shared" si="61"/>
        <v>12</v>
      </c>
      <c r="L400" s="63">
        <f t="shared" si="61"/>
        <v>12</v>
      </c>
      <c r="M400" s="63">
        <f t="shared" si="61"/>
        <v>11</v>
      </c>
      <c r="N400" s="63">
        <f t="shared" si="61"/>
        <v>12</v>
      </c>
      <c r="O400" s="63">
        <f t="shared" si="61"/>
        <v>12</v>
      </c>
      <c r="P400" s="63">
        <f t="shared" si="61"/>
        <v>12</v>
      </c>
      <c r="Q400" s="63">
        <f t="shared" si="61"/>
        <v>12</v>
      </c>
    </row>
    <row r="401" spans="1:44" s="208" customFormat="1" ht="20.25" customHeight="1" x14ac:dyDescent="0.25">
      <c r="A401" s="272" t="s">
        <v>1200</v>
      </c>
      <c r="B401" s="272"/>
      <c r="C401" s="214"/>
      <c r="D401" s="183">
        <f>D400+D374+D367+D358+D354+D325</f>
        <v>1362</v>
      </c>
      <c r="E401" s="183">
        <f t="shared" ref="E401:Q401" si="62">E400+E374+E367+E358+E354+E325</f>
        <v>1363</v>
      </c>
      <c r="F401" s="183">
        <f t="shared" si="62"/>
        <v>1411</v>
      </c>
      <c r="G401" s="183">
        <f t="shared" si="62"/>
        <v>1476</v>
      </c>
      <c r="H401" s="183">
        <f t="shared" si="62"/>
        <v>1502</v>
      </c>
      <c r="I401" s="183">
        <f t="shared" si="62"/>
        <v>1554</v>
      </c>
      <c r="J401" s="183">
        <f t="shared" si="62"/>
        <v>1615</v>
      </c>
      <c r="K401" s="183">
        <f t="shared" si="62"/>
        <v>1661</v>
      </c>
      <c r="L401" s="183">
        <f t="shared" si="62"/>
        <v>1715</v>
      </c>
      <c r="M401" s="183">
        <f t="shared" si="62"/>
        <v>1784</v>
      </c>
      <c r="N401" s="183">
        <f t="shared" si="62"/>
        <v>1821</v>
      </c>
      <c r="O401" s="183">
        <f t="shared" si="62"/>
        <v>1870</v>
      </c>
      <c r="P401" s="183">
        <f t="shared" si="62"/>
        <v>1926</v>
      </c>
      <c r="Q401" s="183">
        <f t="shared" si="62"/>
        <v>2022</v>
      </c>
    </row>
    <row r="402" spans="1:44" ht="29.25" customHeight="1" x14ac:dyDescent="0.25">
      <c r="A402" s="275" t="s">
        <v>1101</v>
      </c>
      <c r="B402" s="276"/>
      <c r="C402" s="277"/>
      <c r="D402" s="21"/>
      <c r="E402" s="21"/>
      <c r="F402" s="21"/>
      <c r="G402" s="43"/>
      <c r="H402" s="43"/>
      <c r="I402" s="43"/>
      <c r="J402" s="21"/>
      <c r="K402" s="21"/>
      <c r="L402" s="21"/>
      <c r="M402" s="21"/>
      <c r="N402" s="21"/>
      <c r="O402" s="21"/>
      <c r="P402" s="21"/>
      <c r="Q402" s="20"/>
    </row>
    <row r="403" spans="1:44" ht="21" customHeight="1" x14ac:dyDescent="0.25">
      <c r="A403" s="257" t="s">
        <v>36</v>
      </c>
      <c r="B403" s="258"/>
      <c r="C403" s="259"/>
      <c r="D403" s="21"/>
      <c r="E403" s="21"/>
      <c r="F403" s="21"/>
      <c r="G403" s="43"/>
      <c r="H403" s="43"/>
      <c r="I403" s="43"/>
      <c r="J403" s="21"/>
      <c r="K403" s="21"/>
      <c r="L403" s="21"/>
      <c r="M403" s="21"/>
      <c r="N403" s="21"/>
      <c r="O403" s="21"/>
      <c r="P403" s="21"/>
      <c r="Q403" s="20"/>
    </row>
    <row r="404" spans="1:44" ht="30" x14ac:dyDescent="0.25">
      <c r="A404" s="14" t="s">
        <v>298</v>
      </c>
      <c r="B404" s="14" t="s">
        <v>299</v>
      </c>
      <c r="C404" s="14" t="s">
        <v>300</v>
      </c>
      <c r="D404" s="21">
        <f>5</f>
        <v>5</v>
      </c>
      <c r="E404" s="21">
        <f>5</f>
        <v>5</v>
      </c>
      <c r="F404" s="21">
        <f>5</f>
        <v>5</v>
      </c>
      <c r="G404" s="21">
        <f>5</f>
        <v>5</v>
      </c>
      <c r="H404" s="21">
        <f>5</f>
        <v>5</v>
      </c>
      <c r="I404" s="21">
        <f>5</f>
        <v>5</v>
      </c>
      <c r="J404" s="21">
        <f>5</f>
        <v>5</v>
      </c>
      <c r="K404" s="21">
        <f>5</f>
        <v>5</v>
      </c>
      <c r="L404" s="21">
        <f>5</f>
        <v>5</v>
      </c>
      <c r="M404" s="21">
        <f>5</f>
        <v>5</v>
      </c>
      <c r="N404" s="21">
        <f>5</f>
        <v>5</v>
      </c>
      <c r="O404" s="21">
        <f>5</f>
        <v>5</v>
      </c>
      <c r="P404" s="21">
        <f>5</f>
        <v>5</v>
      </c>
      <c r="Q404" s="21">
        <f>5</f>
        <v>5</v>
      </c>
    </row>
    <row r="405" spans="1:44" ht="45" x14ac:dyDescent="0.25">
      <c r="A405" s="35" t="s">
        <v>301</v>
      </c>
      <c r="B405" s="35" t="s">
        <v>302</v>
      </c>
      <c r="C405" s="215" t="s">
        <v>303</v>
      </c>
      <c r="D405" s="72">
        <f>2</f>
        <v>2</v>
      </c>
      <c r="E405" s="72">
        <f>2</f>
        <v>2</v>
      </c>
      <c r="F405" s="72">
        <f>2</f>
        <v>2</v>
      </c>
      <c r="G405" s="72">
        <f>2</f>
        <v>2</v>
      </c>
      <c r="H405" s="72">
        <f>2</f>
        <v>2</v>
      </c>
      <c r="I405" s="72">
        <f>2</f>
        <v>2</v>
      </c>
      <c r="J405" s="72">
        <f>2</f>
        <v>2</v>
      </c>
      <c r="K405" s="72">
        <f>2</f>
        <v>2</v>
      </c>
      <c r="L405" s="72">
        <f>2</f>
        <v>2</v>
      </c>
      <c r="M405" s="72">
        <f>2</f>
        <v>2</v>
      </c>
      <c r="N405" s="72">
        <f>2</f>
        <v>2</v>
      </c>
      <c r="O405" s="72">
        <f>2</f>
        <v>2</v>
      </c>
      <c r="P405" s="72">
        <f>2</f>
        <v>2</v>
      </c>
      <c r="Q405" s="72">
        <f>2</f>
        <v>2</v>
      </c>
    </row>
    <row r="406" spans="1:44" s="216" customFormat="1" ht="17.25" customHeight="1" x14ac:dyDescent="0.25">
      <c r="A406" s="272" t="s">
        <v>1201</v>
      </c>
      <c r="B406" s="272"/>
      <c r="C406" s="214"/>
      <c r="D406" s="182">
        <f>SUM(D403:D405)</f>
        <v>7</v>
      </c>
      <c r="E406" s="182">
        <f t="shared" ref="E406:Q406" si="63">SUM(E403:E405)</f>
        <v>7</v>
      </c>
      <c r="F406" s="182">
        <f t="shared" si="63"/>
        <v>7</v>
      </c>
      <c r="G406" s="182">
        <f t="shared" si="63"/>
        <v>7</v>
      </c>
      <c r="H406" s="182">
        <f t="shared" si="63"/>
        <v>7</v>
      </c>
      <c r="I406" s="182">
        <f t="shared" si="63"/>
        <v>7</v>
      </c>
      <c r="J406" s="182">
        <f t="shared" si="63"/>
        <v>7</v>
      </c>
      <c r="K406" s="182">
        <f t="shared" si="63"/>
        <v>7</v>
      </c>
      <c r="L406" s="182">
        <f t="shared" si="63"/>
        <v>7</v>
      </c>
      <c r="M406" s="182">
        <f t="shared" si="63"/>
        <v>7</v>
      </c>
      <c r="N406" s="182">
        <f t="shared" si="63"/>
        <v>7</v>
      </c>
      <c r="O406" s="182">
        <f t="shared" si="63"/>
        <v>7</v>
      </c>
      <c r="P406" s="182">
        <f t="shared" si="63"/>
        <v>7</v>
      </c>
      <c r="Q406" s="182">
        <f t="shared" si="63"/>
        <v>7</v>
      </c>
    </row>
    <row r="407" spans="1:44" x14ac:dyDescent="0.25">
      <c r="A407" s="283" t="s">
        <v>129</v>
      </c>
      <c r="B407" s="284"/>
      <c r="C407" s="284"/>
      <c r="D407" s="244"/>
      <c r="E407" s="244"/>
      <c r="F407" s="244"/>
      <c r="G407" s="245"/>
      <c r="H407" s="245"/>
      <c r="I407" s="245"/>
      <c r="J407" s="244"/>
      <c r="K407" s="244"/>
      <c r="L407" s="244"/>
      <c r="M407" s="244"/>
      <c r="N407" s="244"/>
      <c r="O407" s="244"/>
      <c r="P407" s="244"/>
      <c r="Q407" s="246"/>
    </row>
    <row r="408" spans="1:44" x14ac:dyDescent="0.25">
      <c r="A408" s="257" t="s">
        <v>55</v>
      </c>
      <c r="B408" s="259"/>
      <c r="C408" s="14"/>
      <c r="D408" s="20"/>
      <c r="E408" s="20"/>
      <c r="F408" s="20"/>
      <c r="G408" s="45"/>
      <c r="H408" s="45"/>
      <c r="I408" s="45"/>
      <c r="J408" s="20"/>
      <c r="K408" s="20"/>
      <c r="L408" s="20"/>
      <c r="M408" s="20"/>
      <c r="N408" s="20"/>
      <c r="O408" s="20"/>
      <c r="P408" s="20"/>
      <c r="Q408" s="20"/>
    </row>
    <row r="409" spans="1:44" s="217" customFormat="1" x14ac:dyDescent="0.25">
      <c r="A409" s="23" t="s">
        <v>56</v>
      </c>
      <c r="B409" s="14" t="s">
        <v>57</v>
      </c>
      <c r="C409" s="14"/>
      <c r="D409" s="20"/>
      <c r="E409" s="20"/>
      <c r="F409" s="20"/>
      <c r="G409" s="45"/>
      <c r="H409" s="45"/>
      <c r="I409" s="45"/>
      <c r="J409" s="20"/>
      <c r="K409" s="20"/>
      <c r="L409" s="20"/>
      <c r="M409" s="20"/>
      <c r="N409" s="20"/>
      <c r="O409" s="20"/>
      <c r="P409" s="20"/>
      <c r="Q409" s="20"/>
      <c r="R409" s="186"/>
      <c r="S409" s="186"/>
      <c r="T409" s="186"/>
      <c r="U409" s="186"/>
      <c r="V409" s="186"/>
      <c r="W409" s="186"/>
      <c r="X409" s="186"/>
      <c r="Y409" s="186"/>
      <c r="Z409" s="186"/>
      <c r="AA409" s="186"/>
      <c r="AB409" s="186"/>
      <c r="AC409" s="186"/>
      <c r="AD409" s="186"/>
      <c r="AE409" s="186"/>
      <c r="AF409" s="186"/>
      <c r="AG409" s="186"/>
      <c r="AH409" s="186"/>
      <c r="AI409" s="186"/>
      <c r="AJ409" s="186"/>
      <c r="AK409" s="186"/>
      <c r="AL409" s="186"/>
      <c r="AM409" s="186"/>
      <c r="AN409" s="186"/>
      <c r="AO409" s="186"/>
      <c r="AP409" s="186"/>
      <c r="AQ409" s="186"/>
      <c r="AR409" s="186"/>
    </row>
    <row r="410" spans="1:44" s="217" customFormat="1" ht="30" x14ac:dyDescent="0.25">
      <c r="A410" s="23" t="s">
        <v>130</v>
      </c>
      <c r="B410" s="14" t="s">
        <v>58</v>
      </c>
      <c r="C410" s="14" t="s">
        <v>74</v>
      </c>
      <c r="D410" s="20">
        <v>100</v>
      </c>
      <c r="E410" s="20">
        <v>99</v>
      </c>
      <c r="F410" s="20">
        <v>98</v>
      </c>
      <c r="G410" s="45">
        <v>97</v>
      </c>
      <c r="H410" s="45">
        <v>96</v>
      </c>
      <c r="I410" s="45">
        <v>95</v>
      </c>
      <c r="J410" s="20">
        <v>94</v>
      </c>
      <c r="K410" s="20">
        <v>93</v>
      </c>
      <c r="L410" s="20">
        <v>92</v>
      </c>
      <c r="M410" s="20">
        <v>90</v>
      </c>
      <c r="N410" s="20">
        <v>90</v>
      </c>
      <c r="O410" s="20">
        <v>90</v>
      </c>
      <c r="P410" s="20">
        <v>90</v>
      </c>
      <c r="Q410" s="20">
        <v>90</v>
      </c>
      <c r="R410" s="186"/>
      <c r="S410" s="186"/>
      <c r="T410" s="186"/>
      <c r="U410" s="186"/>
      <c r="V410" s="186"/>
      <c r="W410" s="186"/>
      <c r="X410" s="186"/>
      <c r="Y410" s="186"/>
      <c r="Z410" s="186"/>
      <c r="AA410" s="186"/>
      <c r="AB410" s="186"/>
      <c r="AC410" s="186"/>
      <c r="AD410" s="186"/>
      <c r="AE410" s="186"/>
      <c r="AF410" s="186"/>
      <c r="AG410" s="186"/>
      <c r="AH410" s="186"/>
      <c r="AI410" s="186"/>
      <c r="AJ410" s="186"/>
      <c r="AK410" s="186"/>
      <c r="AL410" s="186"/>
      <c r="AM410" s="186"/>
      <c r="AN410" s="186"/>
      <c r="AO410" s="186"/>
      <c r="AP410" s="186"/>
      <c r="AQ410" s="186"/>
      <c r="AR410" s="186"/>
    </row>
    <row r="411" spans="1:44" x14ac:dyDescent="0.25">
      <c r="A411" s="23" t="s">
        <v>131</v>
      </c>
      <c r="B411" s="14" t="s">
        <v>73</v>
      </c>
      <c r="C411" s="14" t="s">
        <v>87</v>
      </c>
      <c r="D411" s="20">
        <v>7</v>
      </c>
      <c r="E411" s="20">
        <v>7</v>
      </c>
      <c r="F411" s="20">
        <v>6</v>
      </c>
      <c r="G411" s="45">
        <v>6</v>
      </c>
      <c r="H411" s="45">
        <v>5</v>
      </c>
      <c r="I411" s="45">
        <v>5</v>
      </c>
      <c r="J411" s="20">
        <v>4</v>
      </c>
      <c r="K411" s="20">
        <v>4</v>
      </c>
      <c r="L411" s="20">
        <v>3</v>
      </c>
      <c r="M411" s="20">
        <v>3</v>
      </c>
      <c r="N411" s="20">
        <v>3</v>
      </c>
      <c r="O411" s="20">
        <v>3</v>
      </c>
      <c r="P411" s="20">
        <v>3</v>
      </c>
      <c r="Q411" s="20">
        <v>3</v>
      </c>
    </row>
    <row r="412" spans="1:44" ht="30.75" customHeight="1" x14ac:dyDescent="0.25">
      <c r="A412" s="23" t="s">
        <v>132</v>
      </c>
      <c r="B412" s="14" t="s">
        <v>66</v>
      </c>
      <c r="C412" s="14" t="s">
        <v>77</v>
      </c>
      <c r="D412" s="20">
        <v>31</v>
      </c>
      <c r="E412" s="20">
        <v>30</v>
      </c>
      <c r="F412" s="20">
        <v>29</v>
      </c>
      <c r="G412" s="45">
        <v>28</v>
      </c>
      <c r="H412" s="45">
        <v>28</v>
      </c>
      <c r="I412" s="45">
        <v>27</v>
      </c>
      <c r="J412" s="45">
        <v>27</v>
      </c>
      <c r="K412" s="20">
        <v>26</v>
      </c>
      <c r="L412" s="20">
        <v>26</v>
      </c>
      <c r="M412" s="20">
        <v>25</v>
      </c>
      <c r="N412" s="20">
        <v>25</v>
      </c>
      <c r="O412" s="20">
        <v>25</v>
      </c>
      <c r="P412" s="20">
        <v>25</v>
      </c>
      <c r="Q412" s="20">
        <v>25</v>
      </c>
    </row>
    <row r="413" spans="1:44" x14ac:dyDescent="0.25">
      <c r="A413" s="23" t="s">
        <v>192</v>
      </c>
      <c r="B413" s="14" t="s">
        <v>193</v>
      </c>
      <c r="C413" s="14" t="s">
        <v>208</v>
      </c>
      <c r="D413" s="20">
        <v>7</v>
      </c>
      <c r="E413" s="20">
        <v>7</v>
      </c>
      <c r="F413" s="20">
        <v>6</v>
      </c>
      <c r="G413" s="45">
        <v>6</v>
      </c>
      <c r="H413" s="45">
        <v>5</v>
      </c>
      <c r="I413" s="45">
        <v>5</v>
      </c>
      <c r="J413" s="20">
        <v>4</v>
      </c>
      <c r="K413" s="20">
        <v>4</v>
      </c>
      <c r="L413" s="20">
        <v>4</v>
      </c>
      <c r="M413" s="20">
        <v>4</v>
      </c>
      <c r="N413" s="20">
        <v>3</v>
      </c>
      <c r="O413" s="20">
        <v>3</v>
      </c>
      <c r="P413" s="20">
        <v>3</v>
      </c>
      <c r="Q413" s="20">
        <v>3</v>
      </c>
    </row>
    <row r="414" spans="1:44" s="217" customFormat="1" x14ac:dyDescent="0.25">
      <c r="A414" s="23" t="s">
        <v>133</v>
      </c>
      <c r="B414" s="14" t="s">
        <v>65</v>
      </c>
      <c r="C414" s="14" t="s">
        <v>83</v>
      </c>
      <c r="D414" s="20">
        <v>35</v>
      </c>
      <c r="E414" s="20">
        <v>34</v>
      </c>
      <c r="F414" s="20">
        <v>33</v>
      </c>
      <c r="G414" s="45">
        <v>32</v>
      </c>
      <c r="H414" s="45">
        <v>31</v>
      </c>
      <c r="I414" s="45">
        <v>30</v>
      </c>
      <c r="J414" s="20">
        <v>29</v>
      </c>
      <c r="K414" s="20">
        <v>29</v>
      </c>
      <c r="L414" s="20">
        <v>28</v>
      </c>
      <c r="M414" s="20">
        <v>28</v>
      </c>
      <c r="N414" s="20">
        <v>27</v>
      </c>
      <c r="O414" s="20">
        <v>27</v>
      </c>
      <c r="P414" s="20">
        <v>27</v>
      </c>
      <c r="Q414" s="20">
        <v>27</v>
      </c>
      <c r="R414" s="186"/>
      <c r="S414" s="186"/>
      <c r="T414" s="186"/>
      <c r="U414" s="186"/>
      <c r="V414" s="186"/>
      <c r="W414" s="186"/>
      <c r="X414" s="186"/>
      <c r="Y414" s="186"/>
      <c r="Z414" s="186"/>
      <c r="AA414" s="186"/>
      <c r="AB414" s="186"/>
      <c r="AC414" s="186"/>
      <c r="AD414" s="186"/>
      <c r="AE414" s="186"/>
      <c r="AF414" s="186"/>
      <c r="AG414" s="186"/>
      <c r="AH414" s="186"/>
      <c r="AI414" s="186"/>
      <c r="AJ414" s="186"/>
      <c r="AK414" s="186"/>
      <c r="AL414" s="186"/>
      <c r="AM414" s="186"/>
      <c r="AN414" s="186"/>
      <c r="AO414" s="186"/>
      <c r="AP414" s="186"/>
      <c r="AQ414" s="186"/>
      <c r="AR414" s="186"/>
    </row>
    <row r="415" spans="1:44" s="217" customFormat="1" ht="30" x14ac:dyDescent="0.25">
      <c r="A415" s="23" t="s">
        <v>185</v>
      </c>
      <c r="B415" s="14" t="s">
        <v>186</v>
      </c>
      <c r="C415" s="14" t="s">
        <v>187</v>
      </c>
      <c r="D415" s="20">
        <v>38</v>
      </c>
      <c r="E415" s="20">
        <v>37</v>
      </c>
      <c r="F415" s="20">
        <v>36</v>
      </c>
      <c r="G415" s="45">
        <v>35</v>
      </c>
      <c r="H415" s="45">
        <v>34</v>
      </c>
      <c r="I415" s="45">
        <v>33</v>
      </c>
      <c r="J415" s="20">
        <v>32</v>
      </c>
      <c r="K415" s="20">
        <v>31</v>
      </c>
      <c r="L415" s="20">
        <v>30</v>
      </c>
      <c r="M415" s="20">
        <v>30</v>
      </c>
      <c r="N415" s="20">
        <v>30</v>
      </c>
      <c r="O415" s="20">
        <v>30</v>
      </c>
      <c r="P415" s="20">
        <v>30</v>
      </c>
      <c r="Q415" s="20">
        <v>30</v>
      </c>
      <c r="R415" s="186"/>
      <c r="S415" s="186"/>
      <c r="T415" s="186"/>
      <c r="U415" s="186"/>
      <c r="V415" s="186"/>
      <c r="W415" s="186"/>
      <c r="X415" s="186"/>
      <c r="Y415" s="186"/>
      <c r="Z415" s="186"/>
      <c r="AA415" s="186"/>
      <c r="AB415" s="186"/>
      <c r="AC415" s="186"/>
      <c r="AD415" s="186"/>
      <c r="AE415" s="186"/>
      <c r="AF415" s="186"/>
      <c r="AG415" s="186"/>
      <c r="AH415" s="186"/>
      <c r="AI415" s="186"/>
      <c r="AJ415" s="186"/>
      <c r="AK415" s="186"/>
      <c r="AL415" s="186"/>
      <c r="AM415" s="186"/>
      <c r="AN415" s="186"/>
      <c r="AO415" s="186"/>
      <c r="AP415" s="186"/>
      <c r="AQ415" s="186"/>
      <c r="AR415" s="186"/>
    </row>
    <row r="416" spans="1:44" ht="30" x14ac:dyDescent="0.25">
      <c r="A416" s="23" t="s">
        <v>134</v>
      </c>
      <c r="B416" s="14" t="s">
        <v>72</v>
      </c>
      <c r="C416" s="14" t="s">
        <v>118</v>
      </c>
      <c r="D416" s="20">
        <v>3</v>
      </c>
      <c r="E416" s="20">
        <v>3</v>
      </c>
      <c r="F416" s="20">
        <v>2</v>
      </c>
      <c r="G416" s="45">
        <v>2</v>
      </c>
      <c r="H416" s="45">
        <v>3</v>
      </c>
      <c r="I416" s="45">
        <v>3</v>
      </c>
      <c r="J416" s="20">
        <v>3</v>
      </c>
      <c r="K416" s="20">
        <v>3</v>
      </c>
      <c r="L416" s="20">
        <v>3</v>
      </c>
      <c r="M416" s="20">
        <v>2</v>
      </c>
      <c r="N416" s="20">
        <v>2</v>
      </c>
      <c r="O416" s="20"/>
      <c r="P416" s="20">
        <v>2</v>
      </c>
      <c r="Q416" s="20">
        <v>2</v>
      </c>
    </row>
    <row r="417" spans="1:44" s="217" customFormat="1" ht="30" x14ac:dyDescent="0.25">
      <c r="A417" s="23" t="s">
        <v>135</v>
      </c>
      <c r="B417" s="35" t="s">
        <v>92</v>
      </c>
      <c r="C417" s="35" t="s">
        <v>93</v>
      </c>
      <c r="D417" s="40">
        <v>3</v>
      </c>
      <c r="E417" s="40">
        <v>3</v>
      </c>
      <c r="F417" s="40">
        <v>3</v>
      </c>
      <c r="G417" s="40">
        <v>3</v>
      </c>
      <c r="H417" s="40">
        <v>3</v>
      </c>
      <c r="I417" s="40">
        <v>3</v>
      </c>
      <c r="J417" s="40">
        <v>3</v>
      </c>
      <c r="K417" s="40">
        <v>3</v>
      </c>
      <c r="L417" s="40">
        <v>3</v>
      </c>
      <c r="M417" s="40">
        <v>3</v>
      </c>
      <c r="N417" s="40">
        <v>3</v>
      </c>
      <c r="O417" s="40">
        <v>2</v>
      </c>
      <c r="P417" s="40">
        <v>2</v>
      </c>
      <c r="Q417" s="40">
        <v>2</v>
      </c>
      <c r="R417" s="186"/>
      <c r="S417" s="186"/>
      <c r="T417" s="186"/>
      <c r="U417" s="186"/>
      <c r="V417" s="186"/>
      <c r="W417" s="186"/>
      <c r="X417" s="186"/>
      <c r="Y417" s="186"/>
      <c r="Z417" s="186"/>
      <c r="AA417" s="186"/>
      <c r="AB417" s="186"/>
      <c r="AC417" s="186"/>
      <c r="AD417" s="186"/>
      <c r="AE417" s="186"/>
      <c r="AF417" s="186"/>
      <c r="AG417" s="186"/>
      <c r="AH417" s="186"/>
      <c r="AI417" s="186"/>
      <c r="AJ417" s="186"/>
      <c r="AK417" s="186"/>
      <c r="AL417" s="186"/>
      <c r="AM417" s="186"/>
      <c r="AN417" s="186"/>
      <c r="AO417" s="186"/>
      <c r="AP417" s="186"/>
      <c r="AQ417" s="186"/>
      <c r="AR417" s="186"/>
    </row>
    <row r="418" spans="1:44" s="217" customFormat="1" x14ac:dyDescent="0.25">
      <c r="A418" s="23" t="s">
        <v>217</v>
      </c>
      <c r="B418" s="14" t="s">
        <v>216</v>
      </c>
      <c r="C418" s="14" t="s">
        <v>223</v>
      </c>
      <c r="D418" s="20">
        <v>4</v>
      </c>
      <c r="E418" s="20">
        <v>4</v>
      </c>
      <c r="F418" s="20">
        <v>4</v>
      </c>
      <c r="G418" s="20">
        <v>4</v>
      </c>
      <c r="H418" s="20">
        <v>4</v>
      </c>
      <c r="I418" s="20">
        <v>4</v>
      </c>
      <c r="J418" s="20">
        <v>3</v>
      </c>
      <c r="K418" s="20">
        <v>3</v>
      </c>
      <c r="L418" s="20">
        <v>3</v>
      </c>
      <c r="M418" s="20">
        <v>3</v>
      </c>
      <c r="N418" s="20">
        <v>3</v>
      </c>
      <c r="O418" s="20">
        <v>3</v>
      </c>
      <c r="P418" s="20">
        <v>3</v>
      </c>
      <c r="Q418" s="20">
        <v>3</v>
      </c>
      <c r="R418" s="186"/>
      <c r="S418" s="186"/>
      <c r="T418" s="186"/>
      <c r="U418" s="186"/>
      <c r="V418" s="186"/>
      <c r="W418" s="186"/>
      <c r="X418" s="186"/>
      <c r="Y418" s="186"/>
      <c r="Z418" s="186"/>
      <c r="AA418" s="186"/>
      <c r="AB418" s="186"/>
      <c r="AC418" s="186"/>
      <c r="AD418" s="186"/>
      <c r="AE418" s="186"/>
      <c r="AF418" s="186"/>
      <c r="AG418" s="186"/>
      <c r="AH418" s="186"/>
      <c r="AI418" s="186"/>
      <c r="AJ418" s="186"/>
      <c r="AK418" s="186"/>
      <c r="AL418" s="186"/>
      <c r="AM418" s="186"/>
      <c r="AN418" s="186"/>
      <c r="AO418" s="186"/>
      <c r="AP418" s="186"/>
      <c r="AQ418" s="186"/>
      <c r="AR418" s="186"/>
    </row>
    <row r="419" spans="1:44" x14ac:dyDescent="0.25">
      <c r="A419" s="23" t="s">
        <v>136</v>
      </c>
      <c r="B419" s="24" t="s">
        <v>67</v>
      </c>
      <c r="C419" s="24" t="s">
        <v>79</v>
      </c>
      <c r="D419" s="41">
        <v>17</v>
      </c>
      <c r="E419" s="41">
        <v>17</v>
      </c>
      <c r="F419" s="41">
        <v>16</v>
      </c>
      <c r="G419" s="51">
        <v>16</v>
      </c>
      <c r="H419" s="51">
        <v>15</v>
      </c>
      <c r="I419" s="51">
        <v>15</v>
      </c>
      <c r="J419" s="41">
        <v>14</v>
      </c>
      <c r="K419" s="41">
        <v>14</v>
      </c>
      <c r="L419" s="41">
        <v>14</v>
      </c>
      <c r="M419" s="41">
        <v>14</v>
      </c>
      <c r="N419" s="41">
        <v>14</v>
      </c>
      <c r="O419" s="41">
        <v>13</v>
      </c>
      <c r="P419" s="41">
        <v>13</v>
      </c>
      <c r="Q419" s="41">
        <v>13</v>
      </c>
    </row>
    <row r="420" spans="1:44" x14ac:dyDescent="0.25">
      <c r="A420" s="23" t="s">
        <v>137</v>
      </c>
      <c r="B420" s="14" t="s">
        <v>64</v>
      </c>
      <c r="C420" s="14" t="s">
        <v>82</v>
      </c>
      <c r="D420" s="20">
        <v>94</v>
      </c>
      <c r="E420" s="20">
        <v>94</v>
      </c>
      <c r="F420" s="20">
        <v>93</v>
      </c>
      <c r="G420" s="45">
        <v>93</v>
      </c>
      <c r="H420" s="45">
        <v>92</v>
      </c>
      <c r="I420" s="45">
        <v>92</v>
      </c>
      <c r="J420" s="45">
        <v>92</v>
      </c>
      <c r="K420" s="45">
        <v>92</v>
      </c>
      <c r="L420" s="45">
        <v>92</v>
      </c>
      <c r="M420" s="45">
        <v>92</v>
      </c>
      <c r="N420" s="45">
        <v>92</v>
      </c>
      <c r="O420" s="45">
        <v>92</v>
      </c>
      <c r="P420" s="45">
        <v>92</v>
      </c>
      <c r="Q420" s="20">
        <v>90</v>
      </c>
    </row>
    <row r="421" spans="1:44" x14ac:dyDescent="0.25">
      <c r="A421" s="23" t="s">
        <v>176</v>
      </c>
      <c r="B421" s="14" t="s">
        <v>179</v>
      </c>
      <c r="C421" s="14" t="s">
        <v>180</v>
      </c>
      <c r="D421" s="20">
        <v>4</v>
      </c>
      <c r="E421" s="20">
        <v>4</v>
      </c>
      <c r="F421" s="20">
        <v>3</v>
      </c>
      <c r="G421" s="45">
        <v>3</v>
      </c>
      <c r="H421" s="45">
        <v>3</v>
      </c>
      <c r="I421" s="45">
        <v>2</v>
      </c>
      <c r="J421" s="45">
        <v>2</v>
      </c>
      <c r="K421" s="45">
        <v>2</v>
      </c>
      <c r="L421" s="45">
        <v>2</v>
      </c>
      <c r="M421" s="45">
        <v>2</v>
      </c>
      <c r="N421" s="45">
        <v>2</v>
      </c>
      <c r="O421" s="20">
        <v>1</v>
      </c>
      <c r="P421" s="20">
        <v>1</v>
      </c>
      <c r="Q421" s="20">
        <v>1</v>
      </c>
    </row>
    <row r="422" spans="1:44" x14ac:dyDescent="0.25">
      <c r="A422" s="23" t="s">
        <v>181</v>
      </c>
      <c r="B422" s="14" t="s">
        <v>182</v>
      </c>
      <c r="C422" s="14" t="s">
        <v>204</v>
      </c>
      <c r="D422" s="20">
        <v>5</v>
      </c>
      <c r="E422" s="20">
        <v>5</v>
      </c>
      <c r="F422" s="20">
        <v>5</v>
      </c>
      <c r="G422" s="45">
        <v>5</v>
      </c>
      <c r="H422" s="45">
        <v>5</v>
      </c>
      <c r="I422" s="45">
        <v>4</v>
      </c>
      <c r="J422" s="20">
        <v>4</v>
      </c>
      <c r="K422" s="20">
        <v>4</v>
      </c>
      <c r="L422" s="20">
        <v>3</v>
      </c>
      <c r="M422" s="20">
        <v>3</v>
      </c>
      <c r="N422" s="20">
        <v>3</v>
      </c>
      <c r="O422" s="20">
        <v>3</v>
      </c>
      <c r="P422" s="20">
        <v>3</v>
      </c>
      <c r="Q422" s="20">
        <v>3</v>
      </c>
    </row>
    <row r="423" spans="1:44" x14ac:dyDescent="0.25">
      <c r="A423" s="23" t="s">
        <v>184</v>
      </c>
      <c r="B423" s="14" t="s">
        <v>183</v>
      </c>
      <c r="C423" s="14" t="s">
        <v>205</v>
      </c>
      <c r="D423" s="20">
        <v>21</v>
      </c>
      <c r="E423" s="20">
        <v>21</v>
      </c>
      <c r="F423" s="20">
        <v>21</v>
      </c>
      <c r="G423" s="45">
        <v>20</v>
      </c>
      <c r="H423" s="45">
        <v>20</v>
      </c>
      <c r="I423" s="45">
        <v>19</v>
      </c>
      <c r="J423" s="20">
        <v>19</v>
      </c>
      <c r="K423" s="20">
        <v>18</v>
      </c>
      <c r="L423" s="20">
        <v>18</v>
      </c>
      <c r="M423" s="20">
        <v>16</v>
      </c>
      <c r="N423" s="20">
        <v>16</v>
      </c>
      <c r="O423" s="20">
        <v>16</v>
      </c>
      <c r="P423" s="20">
        <v>16</v>
      </c>
      <c r="Q423" s="20">
        <v>15</v>
      </c>
    </row>
    <row r="424" spans="1:44" x14ac:dyDescent="0.25">
      <c r="A424" s="23" t="s">
        <v>138</v>
      </c>
      <c r="B424" s="14" t="s">
        <v>59</v>
      </c>
      <c r="C424" s="14" t="s">
        <v>75</v>
      </c>
      <c r="D424" s="20">
        <v>23</v>
      </c>
      <c r="E424" s="20">
        <v>22</v>
      </c>
      <c r="F424" s="20">
        <v>22</v>
      </c>
      <c r="G424" s="20">
        <v>22</v>
      </c>
      <c r="H424" s="45">
        <v>20</v>
      </c>
      <c r="I424" s="45">
        <v>20</v>
      </c>
      <c r="J424" s="20">
        <v>19</v>
      </c>
      <c r="K424" s="20">
        <v>19</v>
      </c>
      <c r="L424" s="20">
        <v>19</v>
      </c>
      <c r="M424" s="20">
        <v>18</v>
      </c>
      <c r="N424" s="20">
        <v>18</v>
      </c>
      <c r="O424" s="20">
        <v>18</v>
      </c>
      <c r="P424" s="20">
        <v>16</v>
      </c>
      <c r="Q424" s="20">
        <v>15</v>
      </c>
    </row>
    <row r="425" spans="1:44" x14ac:dyDescent="0.25">
      <c r="A425" s="23" t="s">
        <v>139</v>
      </c>
      <c r="B425" s="14" t="s">
        <v>60</v>
      </c>
      <c r="C425" s="14" t="s">
        <v>76</v>
      </c>
      <c r="D425" s="20">
        <v>20</v>
      </c>
      <c r="E425" s="20">
        <v>18</v>
      </c>
      <c r="F425" s="20">
        <v>18</v>
      </c>
      <c r="G425" s="45">
        <v>17</v>
      </c>
      <c r="H425" s="45">
        <v>17</v>
      </c>
      <c r="I425" s="45">
        <v>17</v>
      </c>
      <c r="J425" s="20">
        <v>16</v>
      </c>
      <c r="K425" s="20">
        <v>16</v>
      </c>
      <c r="L425" s="20">
        <v>15</v>
      </c>
      <c r="M425" s="20">
        <v>15</v>
      </c>
      <c r="N425" s="20">
        <v>15</v>
      </c>
      <c r="O425" s="20">
        <v>14</v>
      </c>
      <c r="P425" s="20">
        <v>14</v>
      </c>
      <c r="Q425" s="20">
        <v>14</v>
      </c>
    </row>
    <row r="426" spans="1:44" ht="45" x14ac:dyDescent="0.25">
      <c r="A426" s="23" t="s">
        <v>177</v>
      </c>
      <c r="B426" s="14" t="s">
        <v>178</v>
      </c>
      <c r="C426" s="14" t="s">
        <v>206</v>
      </c>
      <c r="D426" s="20">
        <v>10</v>
      </c>
      <c r="E426" s="20">
        <v>9</v>
      </c>
      <c r="F426" s="20">
        <v>9</v>
      </c>
      <c r="G426" s="20">
        <v>9</v>
      </c>
      <c r="H426" s="45">
        <v>8</v>
      </c>
      <c r="I426" s="45">
        <v>8</v>
      </c>
      <c r="J426" s="45">
        <v>8</v>
      </c>
      <c r="K426" s="20">
        <v>7</v>
      </c>
      <c r="L426" s="20">
        <v>7</v>
      </c>
      <c r="M426" s="20">
        <v>7</v>
      </c>
      <c r="N426" s="20">
        <v>7</v>
      </c>
      <c r="O426" s="20">
        <v>7</v>
      </c>
      <c r="P426" s="20">
        <v>6</v>
      </c>
      <c r="Q426" s="20">
        <v>6</v>
      </c>
    </row>
    <row r="427" spans="1:44" s="217" customFormat="1" x14ac:dyDescent="0.25">
      <c r="A427" s="23" t="s">
        <v>140</v>
      </c>
      <c r="B427" s="14" t="s">
        <v>61</v>
      </c>
      <c r="C427" s="14" t="s">
        <v>78</v>
      </c>
      <c r="D427" s="20">
        <v>3</v>
      </c>
      <c r="E427" s="20">
        <v>3</v>
      </c>
      <c r="F427" s="20">
        <v>3</v>
      </c>
      <c r="G427" s="20">
        <v>3</v>
      </c>
      <c r="H427" s="20">
        <v>3</v>
      </c>
      <c r="I427" s="20">
        <v>3</v>
      </c>
      <c r="J427" s="20">
        <v>2</v>
      </c>
      <c r="K427" s="20">
        <v>2</v>
      </c>
      <c r="L427" s="20">
        <v>2</v>
      </c>
      <c r="M427" s="20">
        <v>2</v>
      </c>
      <c r="N427" s="20"/>
      <c r="O427" s="20">
        <v>2</v>
      </c>
      <c r="P427" s="20">
        <v>2</v>
      </c>
      <c r="Q427" s="20">
        <v>2</v>
      </c>
      <c r="R427" s="186"/>
      <c r="S427" s="186"/>
      <c r="T427" s="186"/>
      <c r="U427" s="186"/>
      <c r="V427" s="186"/>
      <c r="W427" s="186"/>
      <c r="X427" s="186"/>
      <c r="Y427" s="186"/>
      <c r="Z427" s="186"/>
      <c r="AA427" s="186"/>
      <c r="AB427" s="186"/>
      <c r="AC427" s="186"/>
      <c r="AD427" s="186"/>
      <c r="AE427" s="186"/>
      <c r="AF427" s="186"/>
      <c r="AG427" s="186"/>
      <c r="AH427" s="186"/>
      <c r="AI427" s="186"/>
      <c r="AJ427" s="186"/>
      <c r="AK427" s="186"/>
      <c r="AL427" s="186"/>
      <c r="AM427" s="186"/>
      <c r="AN427" s="186"/>
      <c r="AO427" s="186"/>
      <c r="AP427" s="186"/>
      <c r="AQ427" s="186"/>
      <c r="AR427" s="186"/>
    </row>
    <row r="428" spans="1:44" ht="30" x14ac:dyDescent="0.25">
      <c r="A428" s="23" t="s">
        <v>119</v>
      </c>
      <c r="B428" s="14" t="s">
        <v>120</v>
      </c>
      <c r="C428" s="14" t="s">
        <v>207</v>
      </c>
      <c r="D428" s="20">
        <v>150</v>
      </c>
      <c r="E428" s="20">
        <v>145</v>
      </c>
      <c r="F428" s="20">
        <v>145</v>
      </c>
      <c r="G428" s="45">
        <v>140</v>
      </c>
      <c r="H428" s="45">
        <v>140</v>
      </c>
      <c r="I428" s="45">
        <v>138</v>
      </c>
      <c r="J428" s="20">
        <v>138</v>
      </c>
      <c r="K428" s="20">
        <v>138</v>
      </c>
      <c r="L428" s="20">
        <v>138</v>
      </c>
      <c r="M428" s="20">
        <v>135</v>
      </c>
      <c r="N428" s="20">
        <v>135</v>
      </c>
      <c r="O428" s="20">
        <v>135</v>
      </c>
      <c r="P428" s="20">
        <v>135</v>
      </c>
      <c r="Q428" s="20">
        <v>135</v>
      </c>
    </row>
    <row r="429" spans="1:44" s="217" customFormat="1" x14ac:dyDescent="0.25">
      <c r="A429" s="23" t="s">
        <v>141</v>
      </c>
      <c r="B429" s="14" t="s">
        <v>84</v>
      </c>
      <c r="C429" s="14" t="s">
        <v>85</v>
      </c>
      <c r="D429" s="20">
        <v>90</v>
      </c>
      <c r="E429" s="20">
        <v>90</v>
      </c>
      <c r="F429" s="20">
        <v>90</v>
      </c>
      <c r="G429" s="20">
        <v>90</v>
      </c>
      <c r="H429" s="45">
        <v>89</v>
      </c>
      <c r="I429" s="45">
        <v>89</v>
      </c>
      <c r="J429" s="20">
        <v>88</v>
      </c>
      <c r="K429" s="20">
        <v>88</v>
      </c>
      <c r="L429" s="20">
        <v>87</v>
      </c>
      <c r="M429" s="20">
        <v>87</v>
      </c>
      <c r="N429" s="20">
        <v>86</v>
      </c>
      <c r="O429" s="20">
        <v>86</v>
      </c>
      <c r="P429" s="7">
        <v>85</v>
      </c>
      <c r="Q429" s="20">
        <v>85</v>
      </c>
      <c r="R429" s="186"/>
      <c r="S429" s="186"/>
      <c r="T429" s="186"/>
      <c r="U429" s="186"/>
      <c r="V429" s="186"/>
      <c r="W429" s="186"/>
      <c r="X429" s="186"/>
      <c r="Y429" s="186"/>
      <c r="Z429" s="186"/>
      <c r="AA429" s="186"/>
      <c r="AB429" s="186"/>
      <c r="AC429" s="186"/>
      <c r="AD429" s="186"/>
      <c r="AE429" s="186"/>
      <c r="AF429" s="186"/>
      <c r="AG429" s="186"/>
      <c r="AH429" s="186"/>
      <c r="AI429" s="186"/>
      <c r="AJ429" s="186"/>
      <c r="AK429" s="186"/>
      <c r="AL429" s="186"/>
      <c r="AM429" s="186"/>
      <c r="AN429" s="186"/>
      <c r="AO429" s="186"/>
      <c r="AP429" s="186"/>
      <c r="AQ429" s="186"/>
      <c r="AR429" s="186"/>
    </row>
    <row r="430" spans="1:44" s="217" customFormat="1" x14ac:dyDescent="0.25">
      <c r="A430" s="23" t="s">
        <v>188</v>
      </c>
      <c r="B430" s="14" t="s">
        <v>189</v>
      </c>
      <c r="C430" s="14" t="s">
        <v>221</v>
      </c>
      <c r="D430" s="20">
        <v>10</v>
      </c>
      <c r="E430" s="20">
        <v>9</v>
      </c>
      <c r="F430" s="20">
        <v>9</v>
      </c>
      <c r="G430" s="20">
        <v>9</v>
      </c>
      <c r="H430" s="20">
        <v>9</v>
      </c>
      <c r="I430" s="45">
        <v>8</v>
      </c>
      <c r="J430" s="45">
        <v>8</v>
      </c>
      <c r="K430" s="45">
        <v>8</v>
      </c>
      <c r="L430" s="45">
        <v>8</v>
      </c>
      <c r="M430" s="45">
        <v>8</v>
      </c>
      <c r="N430" s="20">
        <v>7</v>
      </c>
      <c r="O430" s="20">
        <v>7</v>
      </c>
      <c r="P430" s="20">
        <v>7</v>
      </c>
      <c r="Q430" s="20">
        <v>7</v>
      </c>
      <c r="R430" s="186"/>
      <c r="S430" s="186"/>
      <c r="T430" s="186"/>
      <c r="U430" s="186"/>
      <c r="V430" s="186"/>
      <c r="W430" s="186"/>
      <c r="X430" s="186"/>
      <c r="Y430" s="186"/>
      <c r="Z430" s="186"/>
      <c r="AA430" s="186"/>
      <c r="AB430" s="186"/>
      <c r="AC430" s="186"/>
      <c r="AD430" s="186"/>
      <c r="AE430" s="186"/>
      <c r="AF430" s="186"/>
      <c r="AG430" s="186"/>
      <c r="AH430" s="186"/>
      <c r="AI430" s="186"/>
      <c r="AJ430" s="186"/>
      <c r="AK430" s="186"/>
      <c r="AL430" s="186"/>
      <c r="AM430" s="186"/>
      <c r="AN430" s="186"/>
      <c r="AO430" s="186"/>
      <c r="AP430" s="186"/>
      <c r="AQ430" s="186"/>
      <c r="AR430" s="186"/>
    </row>
    <row r="431" spans="1:44" x14ac:dyDescent="0.25">
      <c r="A431" s="23" t="s">
        <v>142</v>
      </c>
      <c r="B431" s="14" t="s">
        <v>69</v>
      </c>
      <c r="C431" s="14" t="s">
        <v>88</v>
      </c>
      <c r="D431" s="20">
        <v>35</v>
      </c>
      <c r="E431" s="20">
        <v>35</v>
      </c>
      <c r="F431" s="20">
        <v>34</v>
      </c>
      <c r="G431" s="45">
        <v>34</v>
      </c>
      <c r="H431" s="45">
        <v>33</v>
      </c>
      <c r="I431" s="45">
        <v>33</v>
      </c>
      <c r="J431" s="20">
        <v>32</v>
      </c>
      <c r="K431" s="20">
        <v>32</v>
      </c>
      <c r="L431" s="20">
        <v>31</v>
      </c>
      <c r="M431" s="20">
        <v>31</v>
      </c>
      <c r="N431" s="20">
        <v>31</v>
      </c>
      <c r="O431" s="20">
        <v>30</v>
      </c>
      <c r="P431" s="20">
        <v>30</v>
      </c>
      <c r="Q431" s="20">
        <v>30</v>
      </c>
    </row>
    <row r="432" spans="1:44" s="217" customFormat="1" ht="45" x14ac:dyDescent="0.25">
      <c r="A432" s="23" t="s">
        <v>143</v>
      </c>
      <c r="B432" s="14" t="s">
        <v>91</v>
      </c>
      <c r="C432" s="14" t="s">
        <v>167</v>
      </c>
      <c r="D432" s="20">
        <v>4</v>
      </c>
      <c r="E432" s="20">
        <v>4</v>
      </c>
      <c r="F432" s="20">
        <v>4</v>
      </c>
      <c r="G432" s="45">
        <v>3</v>
      </c>
      <c r="H432" s="45">
        <v>3</v>
      </c>
      <c r="I432" s="45">
        <v>3</v>
      </c>
      <c r="J432" s="45">
        <v>3</v>
      </c>
      <c r="K432" s="45">
        <v>3</v>
      </c>
      <c r="L432" s="45">
        <v>3</v>
      </c>
      <c r="M432" s="20">
        <v>3</v>
      </c>
      <c r="N432" s="20">
        <v>2</v>
      </c>
      <c r="O432" s="20">
        <v>2</v>
      </c>
      <c r="P432" s="20">
        <v>2</v>
      </c>
      <c r="Q432" s="20">
        <v>2</v>
      </c>
      <c r="R432" s="186"/>
      <c r="S432" s="186"/>
      <c r="T432" s="186"/>
      <c r="U432" s="186"/>
      <c r="V432" s="186"/>
      <c r="W432" s="186"/>
      <c r="X432" s="186"/>
      <c r="Y432" s="186"/>
      <c r="Z432" s="186"/>
      <c r="AA432" s="186"/>
      <c r="AB432" s="186"/>
      <c r="AC432" s="186"/>
      <c r="AD432" s="186"/>
      <c r="AE432" s="186"/>
      <c r="AF432" s="186"/>
      <c r="AG432" s="186"/>
      <c r="AH432" s="186"/>
      <c r="AI432" s="186"/>
      <c r="AJ432" s="186"/>
      <c r="AK432" s="186"/>
      <c r="AL432" s="186"/>
      <c r="AM432" s="186"/>
      <c r="AN432" s="186"/>
      <c r="AO432" s="186"/>
      <c r="AP432" s="186"/>
      <c r="AQ432" s="186"/>
      <c r="AR432" s="186"/>
    </row>
    <row r="433" spans="1:44" s="217" customFormat="1" x14ac:dyDescent="0.25">
      <c r="A433" s="23" t="s">
        <v>406</v>
      </c>
      <c r="B433" s="14" t="s">
        <v>62</v>
      </c>
      <c r="C433" s="14" t="s">
        <v>80</v>
      </c>
      <c r="D433" s="20">
        <v>15</v>
      </c>
      <c r="E433" s="20">
        <v>15</v>
      </c>
      <c r="F433" s="20">
        <v>14</v>
      </c>
      <c r="G433" s="45">
        <v>14</v>
      </c>
      <c r="H433" s="45">
        <v>13</v>
      </c>
      <c r="I433" s="45">
        <v>13</v>
      </c>
      <c r="J433" s="20">
        <v>12</v>
      </c>
      <c r="K433" s="20">
        <v>12</v>
      </c>
      <c r="L433" s="20">
        <v>11</v>
      </c>
      <c r="M433" s="20">
        <v>11</v>
      </c>
      <c r="N433" s="20">
        <v>10</v>
      </c>
      <c r="O433" s="20">
        <v>10</v>
      </c>
      <c r="P433" s="20">
        <v>8</v>
      </c>
      <c r="Q433" s="20">
        <v>8</v>
      </c>
      <c r="R433" s="186"/>
      <c r="S433" s="186"/>
      <c r="T433" s="186"/>
      <c r="U433" s="186"/>
      <c r="V433" s="186"/>
      <c r="W433" s="186"/>
      <c r="X433" s="186"/>
      <c r="Y433" s="186"/>
      <c r="Z433" s="186"/>
      <c r="AA433" s="186"/>
      <c r="AB433" s="186"/>
      <c r="AC433" s="186"/>
      <c r="AD433" s="186"/>
      <c r="AE433" s="186"/>
      <c r="AF433" s="186"/>
      <c r="AG433" s="186"/>
      <c r="AH433" s="186"/>
      <c r="AI433" s="186"/>
      <c r="AJ433" s="186"/>
      <c r="AK433" s="186"/>
      <c r="AL433" s="186"/>
      <c r="AM433" s="186"/>
      <c r="AN433" s="186"/>
      <c r="AO433" s="186"/>
      <c r="AP433" s="186"/>
      <c r="AQ433" s="186"/>
      <c r="AR433" s="186"/>
    </row>
    <row r="434" spans="1:44" s="217" customFormat="1" x14ac:dyDescent="0.25">
      <c r="A434" s="23" t="s">
        <v>144</v>
      </c>
      <c r="B434" s="14" t="s">
        <v>63</v>
      </c>
      <c r="C434" s="14" t="s">
        <v>81</v>
      </c>
      <c r="D434" s="20">
        <v>15</v>
      </c>
      <c r="E434" s="20">
        <v>14</v>
      </c>
      <c r="F434" s="20">
        <v>14</v>
      </c>
      <c r="G434" s="45">
        <v>13</v>
      </c>
      <c r="H434" s="45">
        <v>13</v>
      </c>
      <c r="I434" s="45">
        <v>12</v>
      </c>
      <c r="J434" s="20">
        <v>12</v>
      </c>
      <c r="K434" s="20">
        <v>11</v>
      </c>
      <c r="L434" s="20">
        <v>11</v>
      </c>
      <c r="M434" s="20">
        <v>10</v>
      </c>
      <c r="N434" s="20">
        <v>10</v>
      </c>
      <c r="O434" s="20">
        <v>8</v>
      </c>
      <c r="P434" s="20">
        <v>8</v>
      </c>
      <c r="Q434" s="20">
        <v>8</v>
      </c>
      <c r="R434" s="186"/>
      <c r="S434" s="186"/>
      <c r="T434" s="186"/>
      <c r="U434" s="186"/>
      <c r="V434" s="186"/>
      <c r="W434" s="186"/>
      <c r="X434" s="186"/>
      <c r="Y434" s="186"/>
      <c r="Z434" s="186"/>
      <c r="AA434" s="186"/>
      <c r="AB434" s="186"/>
      <c r="AC434" s="186"/>
      <c r="AD434" s="186"/>
      <c r="AE434" s="186"/>
      <c r="AF434" s="186"/>
      <c r="AG434" s="186"/>
      <c r="AH434" s="186"/>
      <c r="AI434" s="186"/>
      <c r="AJ434" s="186"/>
      <c r="AK434" s="186"/>
      <c r="AL434" s="186"/>
      <c r="AM434" s="186"/>
      <c r="AN434" s="186"/>
      <c r="AO434" s="186"/>
      <c r="AP434" s="186"/>
      <c r="AQ434" s="186"/>
      <c r="AR434" s="186"/>
    </row>
    <row r="435" spans="1:44" s="217" customFormat="1" x14ac:dyDescent="0.25">
      <c r="A435" s="23" t="s">
        <v>214</v>
      </c>
      <c r="B435" s="14" t="s">
        <v>215</v>
      </c>
      <c r="C435" s="14" t="s">
        <v>222</v>
      </c>
      <c r="D435" s="20">
        <v>10</v>
      </c>
      <c r="E435" s="20">
        <v>10</v>
      </c>
      <c r="F435" s="20">
        <v>9</v>
      </c>
      <c r="G435" s="45">
        <v>9</v>
      </c>
      <c r="H435" s="45">
        <v>8</v>
      </c>
      <c r="I435" s="45">
        <v>8</v>
      </c>
      <c r="J435" s="20">
        <v>7</v>
      </c>
      <c r="K435" s="20">
        <v>7</v>
      </c>
      <c r="L435" s="20">
        <v>6</v>
      </c>
      <c r="M435" s="20">
        <v>6</v>
      </c>
      <c r="N435" s="20">
        <v>5</v>
      </c>
      <c r="O435" s="20">
        <v>5</v>
      </c>
      <c r="P435" s="20">
        <v>4</v>
      </c>
      <c r="Q435" s="20">
        <v>4</v>
      </c>
      <c r="R435" s="186"/>
      <c r="S435" s="186"/>
      <c r="T435" s="186"/>
      <c r="U435" s="186"/>
      <c r="V435" s="186"/>
      <c r="W435" s="186"/>
      <c r="X435" s="186"/>
      <c r="Y435" s="186"/>
      <c r="Z435" s="186"/>
      <c r="AA435" s="186"/>
      <c r="AB435" s="186"/>
      <c r="AC435" s="186"/>
      <c r="AD435" s="186"/>
      <c r="AE435" s="186"/>
      <c r="AF435" s="186"/>
      <c r="AG435" s="186"/>
      <c r="AH435" s="186"/>
      <c r="AI435" s="186"/>
      <c r="AJ435" s="186"/>
      <c r="AK435" s="186"/>
      <c r="AL435" s="186"/>
      <c r="AM435" s="186"/>
      <c r="AN435" s="186"/>
      <c r="AO435" s="186"/>
      <c r="AP435" s="186"/>
      <c r="AQ435" s="186"/>
      <c r="AR435" s="186"/>
    </row>
    <row r="436" spans="1:44" x14ac:dyDescent="0.25">
      <c r="A436" s="23" t="s">
        <v>145</v>
      </c>
      <c r="B436" s="14" t="s">
        <v>68</v>
      </c>
      <c r="C436" s="14" t="s">
        <v>86</v>
      </c>
      <c r="D436" s="20">
        <v>10</v>
      </c>
      <c r="E436" s="20">
        <v>10</v>
      </c>
      <c r="F436" s="20">
        <v>9</v>
      </c>
      <c r="G436" s="45">
        <v>9</v>
      </c>
      <c r="H436" s="45">
        <v>8</v>
      </c>
      <c r="I436" s="45">
        <v>8</v>
      </c>
      <c r="J436" s="20">
        <v>7</v>
      </c>
      <c r="K436" s="20">
        <v>7</v>
      </c>
      <c r="L436" s="20">
        <v>6</v>
      </c>
      <c r="M436" s="20">
        <v>6</v>
      </c>
      <c r="N436" s="20">
        <v>5</v>
      </c>
      <c r="O436" s="20">
        <v>5</v>
      </c>
      <c r="P436" s="20">
        <v>4</v>
      </c>
      <c r="Q436" s="20">
        <v>4</v>
      </c>
    </row>
    <row r="437" spans="1:44" s="217" customFormat="1" x14ac:dyDescent="0.25">
      <c r="A437" s="23" t="s">
        <v>146</v>
      </c>
      <c r="B437" s="14" t="s">
        <v>70</v>
      </c>
      <c r="C437" s="14" t="s">
        <v>89</v>
      </c>
      <c r="D437" s="20">
        <v>20</v>
      </c>
      <c r="E437" s="20">
        <v>20</v>
      </c>
      <c r="F437" s="20">
        <v>20</v>
      </c>
      <c r="G437" s="45">
        <v>19</v>
      </c>
      <c r="H437" s="45">
        <v>19</v>
      </c>
      <c r="I437" s="45">
        <v>19</v>
      </c>
      <c r="J437" s="20">
        <v>18</v>
      </c>
      <c r="K437" s="20">
        <v>18</v>
      </c>
      <c r="L437" s="20">
        <v>17</v>
      </c>
      <c r="M437" s="20">
        <v>17</v>
      </c>
      <c r="N437" s="20">
        <v>17</v>
      </c>
      <c r="O437" s="20">
        <v>17</v>
      </c>
      <c r="P437" s="20">
        <v>16</v>
      </c>
      <c r="Q437" s="20">
        <v>16</v>
      </c>
      <c r="R437" s="186"/>
      <c r="S437" s="186"/>
      <c r="T437" s="186"/>
      <c r="U437" s="186"/>
      <c r="V437" s="186"/>
      <c r="W437" s="186"/>
      <c r="X437" s="186"/>
      <c r="Y437" s="186"/>
      <c r="Z437" s="186"/>
      <c r="AA437" s="186"/>
      <c r="AB437" s="186"/>
      <c r="AC437" s="186"/>
      <c r="AD437" s="186"/>
      <c r="AE437" s="186"/>
      <c r="AF437" s="186"/>
      <c r="AG437" s="186"/>
      <c r="AH437" s="186"/>
      <c r="AI437" s="186"/>
      <c r="AJ437" s="186"/>
      <c r="AK437" s="186"/>
      <c r="AL437" s="186"/>
      <c r="AM437" s="186"/>
      <c r="AN437" s="186"/>
      <c r="AO437" s="186"/>
      <c r="AP437" s="186"/>
      <c r="AQ437" s="186"/>
      <c r="AR437" s="186"/>
    </row>
    <row r="438" spans="1:44" s="217" customFormat="1" x14ac:dyDescent="0.25">
      <c r="A438" s="23" t="s">
        <v>147</v>
      </c>
      <c r="B438" s="14" t="s">
        <v>71</v>
      </c>
      <c r="C438" s="14" t="s">
        <v>90</v>
      </c>
      <c r="D438" s="20">
        <v>2</v>
      </c>
      <c r="E438" s="20">
        <v>2</v>
      </c>
      <c r="F438" s="20">
        <v>2</v>
      </c>
      <c r="G438" s="20">
        <v>2</v>
      </c>
      <c r="H438" s="20">
        <v>2</v>
      </c>
      <c r="I438" s="20">
        <v>2</v>
      </c>
      <c r="J438" s="20">
        <v>2</v>
      </c>
      <c r="K438" s="20">
        <v>2</v>
      </c>
      <c r="L438" s="20">
        <v>2</v>
      </c>
      <c r="M438" s="20">
        <v>2</v>
      </c>
      <c r="N438" s="20">
        <v>2</v>
      </c>
      <c r="O438" s="20">
        <v>2</v>
      </c>
      <c r="P438" s="20">
        <v>2</v>
      </c>
      <c r="Q438" s="20">
        <v>2</v>
      </c>
      <c r="R438" s="186"/>
      <c r="S438" s="186"/>
      <c r="T438" s="186"/>
      <c r="U438" s="186"/>
      <c r="V438" s="186"/>
      <c r="W438" s="186"/>
      <c r="X438" s="186"/>
      <c r="Y438" s="186"/>
      <c r="Z438" s="186"/>
      <c r="AA438" s="186"/>
      <c r="AB438" s="186"/>
      <c r="AC438" s="186"/>
      <c r="AD438" s="186"/>
      <c r="AE438" s="186"/>
      <c r="AF438" s="186"/>
      <c r="AG438" s="186"/>
      <c r="AH438" s="186"/>
      <c r="AI438" s="186"/>
      <c r="AJ438" s="186"/>
      <c r="AK438" s="186"/>
      <c r="AL438" s="186"/>
      <c r="AM438" s="186"/>
      <c r="AN438" s="186"/>
      <c r="AO438" s="186"/>
      <c r="AP438" s="186"/>
      <c r="AQ438" s="186"/>
      <c r="AR438" s="186"/>
    </row>
    <row r="439" spans="1:44" s="217" customFormat="1" x14ac:dyDescent="0.25">
      <c r="A439" s="23" t="s">
        <v>190</v>
      </c>
      <c r="B439" s="14" t="s">
        <v>191</v>
      </c>
      <c r="C439" s="14" t="s">
        <v>203</v>
      </c>
      <c r="D439" s="20">
        <v>4</v>
      </c>
      <c r="E439" s="20">
        <v>4</v>
      </c>
      <c r="F439" s="20">
        <v>4</v>
      </c>
      <c r="G439" s="20">
        <v>4</v>
      </c>
      <c r="H439" s="20">
        <v>4</v>
      </c>
      <c r="I439" s="20">
        <v>4</v>
      </c>
      <c r="J439" s="20">
        <v>3</v>
      </c>
      <c r="K439" s="20">
        <v>3</v>
      </c>
      <c r="L439" s="20">
        <v>3</v>
      </c>
      <c r="M439" s="20">
        <v>3</v>
      </c>
      <c r="N439" s="20">
        <v>3</v>
      </c>
      <c r="O439" s="20">
        <v>3</v>
      </c>
      <c r="P439" s="20">
        <v>3</v>
      </c>
      <c r="Q439" s="20">
        <v>3</v>
      </c>
      <c r="R439" s="186"/>
      <c r="S439" s="186"/>
      <c r="T439" s="186"/>
      <c r="U439" s="186"/>
      <c r="V439" s="186"/>
      <c r="W439" s="186"/>
      <c r="X439" s="186"/>
      <c r="Y439" s="186"/>
      <c r="Z439" s="186"/>
      <c r="AA439" s="186"/>
      <c r="AB439" s="186"/>
      <c r="AC439" s="186"/>
      <c r="AD439" s="186"/>
      <c r="AE439" s="186"/>
      <c r="AF439" s="186"/>
      <c r="AG439" s="186"/>
      <c r="AH439" s="186"/>
      <c r="AI439" s="186"/>
      <c r="AJ439" s="186"/>
      <c r="AK439" s="186"/>
      <c r="AL439" s="186"/>
      <c r="AM439" s="186"/>
      <c r="AN439" s="186"/>
      <c r="AO439" s="186"/>
      <c r="AP439" s="186"/>
      <c r="AQ439" s="186"/>
      <c r="AR439" s="186"/>
    </row>
    <row r="440" spans="1:44" s="208" customFormat="1" ht="15.75" x14ac:dyDescent="0.25">
      <c r="A440" s="273" t="s">
        <v>1202</v>
      </c>
      <c r="B440" s="281"/>
      <c r="C440" s="214"/>
      <c r="D440" s="182">
        <f>SUM(D410:D439)</f>
        <v>790</v>
      </c>
      <c r="E440" s="182">
        <f t="shared" ref="E440:P440" si="64">SUM(E410:E439)</f>
        <v>775</v>
      </c>
      <c r="F440" s="182">
        <f t="shared" si="64"/>
        <v>761</v>
      </c>
      <c r="G440" s="182">
        <f t="shared" si="64"/>
        <v>747</v>
      </c>
      <c r="H440" s="182">
        <f t="shared" si="64"/>
        <v>733</v>
      </c>
      <c r="I440" s="182">
        <f t="shared" si="64"/>
        <v>722</v>
      </c>
      <c r="J440" s="182">
        <f t="shared" si="64"/>
        <v>705</v>
      </c>
      <c r="K440" s="182">
        <f t="shared" si="64"/>
        <v>699</v>
      </c>
      <c r="L440" s="182">
        <f t="shared" si="64"/>
        <v>687</v>
      </c>
      <c r="M440" s="182">
        <f t="shared" si="64"/>
        <v>676</v>
      </c>
      <c r="N440" s="182">
        <f t="shared" si="64"/>
        <v>666</v>
      </c>
      <c r="O440" s="182">
        <f t="shared" si="64"/>
        <v>659</v>
      </c>
      <c r="P440" s="182">
        <f t="shared" si="64"/>
        <v>652</v>
      </c>
      <c r="Q440" s="182">
        <f>SUM(Q410:Q439)</f>
        <v>648</v>
      </c>
    </row>
    <row r="441" spans="1:44" ht="29.25" customHeight="1" x14ac:dyDescent="0.25">
      <c r="A441" s="257" t="s">
        <v>1070</v>
      </c>
      <c r="B441" s="258"/>
      <c r="C441" s="259"/>
      <c r="D441" s="20"/>
      <c r="E441" s="20"/>
      <c r="F441" s="20"/>
      <c r="G441" s="45"/>
      <c r="H441" s="45"/>
      <c r="I441" s="45"/>
      <c r="J441" s="20"/>
      <c r="K441" s="20"/>
      <c r="L441" s="20"/>
      <c r="M441" s="20"/>
      <c r="N441" s="20"/>
      <c r="O441" s="20"/>
      <c r="P441" s="20"/>
      <c r="Q441" s="20"/>
    </row>
    <row r="442" spans="1:44" x14ac:dyDescent="0.25">
      <c r="A442" s="54" t="s">
        <v>11</v>
      </c>
      <c r="B442" s="55" t="s">
        <v>12</v>
      </c>
      <c r="C442" s="14"/>
      <c r="D442" s="20"/>
      <c r="E442" s="20"/>
      <c r="F442" s="20"/>
      <c r="G442" s="45"/>
      <c r="H442" s="45"/>
      <c r="I442" s="45"/>
      <c r="J442" s="20"/>
      <c r="K442" s="20"/>
      <c r="L442" s="20"/>
      <c r="M442" s="20"/>
      <c r="N442" s="20"/>
      <c r="O442" s="20"/>
      <c r="P442" s="20"/>
      <c r="Q442" s="20"/>
    </row>
    <row r="443" spans="1:44" ht="60" x14ac:dyDescent="0.25">
      <c r="A443" s="54" t="s">
        <v>1067</v>
      </c>
      <c r="B443" s="55" t="s">
        <v>1068</v>
      </c>
      <c r="C443" s="14" t="s">
        <v>1069</v>
      </c>
      <c r="D443" s="20"/>
      <c r="E443" s="20"/>
      <c r="F443" s="20"/>
      <c r="G443" s="45"/>
      <c r="H443" s="45"/>
      <c r="I443" s="45"/>
      <c r="J443" s="20"/>
      <c r="K443" s="20"/>
      <c r="L443" s="20"/>
      <c r="M443" s="20"/>
      <c r="N443" s="20"/>
      <c r="O443" s="20"/>
      <c r="P443" s="20"/>
      <c r="Q443" s="20"/>
    </row>
    <row r="444" spans="1:44" s="208" customFormat="1" ht="20.25" customHeight="1" x14ac:dyDescent="0.25">
      <c r="A444" s="273" t="s">
        <v>1203</v>
      </c>
      <c r="B444" s="274"/>
      <c r="C444" s="214"/>
      <c r="D444" s="182">
        <f>0</f>
        <v>0</v>
      </c>
      <c r="E444" s="182">
        <f>0</f>
        <v>0</v>
      </c>
      <c r="F444" s="182">
        <f>0</f>
        <v>0</v>
      </c>
      <c r="G444" s="182">
        <f>0</f>
        <v>0</v>
      </c>
      <c r="H444" s="182">
        <f>0</f>
        <v>0</v>
      </c>
      <c r="I444" s="182">
        <f>0</f>
        <v>0</v>
      </c>
      <c r="J444" s="182">
        <f>0</f>
        <v>0</v>
      </c>
      <c r="K444" s="182">
        <f>0</f>
        <v>0</v>
      </c>
      <c r="L444" s="182">
        <f>0</f>
        <v>0</v>
      </c>
      <c r="M444" s="182">
        <f>0</f>
        <v>0</v>
      </c>
      <c r="N444" s="182">
        <f>0</f>
        <v>0</v>
      </c>
      <c r="O444" s="182">
        <f>0</f>
        <v>0</v>
      </c>
      <c r="P444" s="182">
        <f>0</f>
        <v>0</v>
      </c>
      <c r="Q444" s="182">
        <f>0</f>
        <v>0</v>
      </c>
    </row>
    <row r="445" spans="1:44" s="247" customFormat="1" ht="18.75" x14ac:dyDescent="0.25">
      <c r="A445" s="371" t="s">
        <v>1103</v>
      </c>
      <c r="B445" s="372"/>
      <c r="C445" s="373"/>
      <c r="D445" s="374">
        <f>D440+D444+D406+D401+D315+D187</f>
        <v>5046</v>
      </c>
      <c r="E445" s="374">
        <f t="shared" ref="E445:Q445" si="65">E440+E444+E406+E401+E315+E187</f>
        <v>5313</v>
      </c>
      <c r="F445" s="374">
        <f t="shared" si="65"/>
        <v>5405</v>
      </c>
      <c r="G445" s="374">
        <f t="shared" si="65"/>
        <v>5539</v>
      </c>
      <c r="H445" s="374">
        <f t="shared" si="65"/>
        <v>5653</v>
      </c>
      <c r="I445" s="374">
        <f t="shared" si="65"/>
        <v>5792</v>
      </c>
      <c r="J445" s="374">
        <f t="shared" si="65"/>
        <v>5847</v>
      </c>
      <c r="K445" s="374">
        <f t="shared" si="65"/>
        <v>5966</v>
      </c>
      <c r="L445" s="374">
        <f t="shared" si="65"/>
        <v>6134</v>
      </c>
      <c r="M445" s="374">
        <f t="shared" si="65"/>
        <v>6238</v>
      </c>
      <c r="N445" s="374">
        <f t="shared" si="65"/>
        <v>6353</v>
      </c>
      <c r="O445" s="374">
        <f t="shared" si="65"/>
        <v>6503</v>
      </c>
      <c r="P445" s="374">
        <f t="shared" si="65"/>
        <v>6632</v>
      </c>
      <c r="Q445" s="374">
        <f t="shared" si="65"/>
        <v>6827</v>
      </c>
    </row>
    <row r="446" spans="1:44" ht="15.75" customHeight="1" x14ac:dyDescent="0.25">
      <c r="A446" s="3"/>
      <c r="B446" s="218"/>
      <c r="C446" s="3"/>
      <c r="D446" s="218"/>
      <c r="E446" s="218"/>
      <c r="F446" s="218"/>
      <c r="G446" s="219"/>
      <c r="H446" s="219"/>
      <c r="I446" s="219"/>
      <c r="J446" s="218"/>
      <c r="K446" s="218"/>
      <c r="L446" s="218"/>
      <c r="M446" s="218"/>
      <c r="N446" s="218"/>
      <c r="O446" s="218"/>
      <c r="P446" s="218"/>
      <c r="Q446" s="3"/>
    </row>
    <row r="447" spans="1:44" ht="15.75" customHeight="1" x14ac:dyDescent="0.25">
      <c r="A447" s="3"/>
      <c r="B447" s="218"/>
      <c r="C447" s="3"/>
      <c r="D447" s="218"/>
      <c r="E447" s="218"/>
      <c r="F447" s="218"/>
      <c r="G447" s="219"/>
      <c r="H447" s="219"/>
      <c r="I447" s="219"/>
      <c r="J447" s="218"/>
      <c r="K447" s="218"/>
      <c r="L447" s="218"/>
      <c r="M447" s="218"/>
      <c r="N447" s="218"/>
      <c r="O447" s="218"/>
      <c r="P447" s="218"/>
      <c r="Q447" s="3"/>
    </row>
    <row r="448" spans="1:44" ht="15.75" x14ac:dyDescent="0.25">
      <c r="A448" s="4"/>
      <c r="B448" s="220"/>
      <c r="C448" s="221"/>
      <c r="D448" s="220"/>
      <c r="E448" s="220"/>
      <c r="F448" s="220"/>
      <c r="G448" s="222"/>
      <c r="H448" s="222"/>
      <c r="I448" s="222"/>
      <c r="J448" s="220"/>
      <c r="K448" s="220"/>
      <c r="L448" s="220"/>
      <c r="M448" s="220"/>
      <c r="N448" s="220"/>
      <c r="O448" s="220"/>
      <c r="P448" s="220"/>
      <c r="Q448" s="223"/>
    </row>
    <row r="449" spans="1:17" ht="15.75" x14ac:dyDescent="0.25">
      <c r="A449" s="4"/>
      <c r="B449" s="224"/>
      <c r="C449" s="225"/>
      <c r="D449" s="226"/>
      <c r="E449" s="226"/>
      <c r="F449" s="226"/>
      <c r="G449" s="227"/>
      <c r="H449" s="227"/>
      <c r="I449" s="227"/>
      <c r="J449" s="226"/>
      <c r="K449" s="226"/>
      <c r="L449" s="226"/>
      <c r="M449" s="226"/>
      <c r="N449" s="226"/>
      <c r="O449" s="226"/>
      <c r="P449" s="226"/>
      <c r="Q449" s="223"/>
    </row>
    <row r="450" spans="1:17" ht="15.75" x14ac:dyDescent="0.25">
      <c r="A450" s="4"/>
      <c r="B450" s="226"/>
      <c r="C450" s="225"/>
      <c r="D450" s="226"/>
      <c r="E450" s="226"/>
      <c r="F450" s="226"/>
      <c r="G450" s="227"/>
      <c r="H450" s="227"/>
      <c r="I450" s="227"/>
      <c r="J450" s="226"/>
      <c r="K450" s="226"/>
      <c r="L450" s="226"/>
      <c r="M450" s="226"/>
      <c r="N450" s="226"/>
      <c r="O450" s="226"/>
      <c r="P450" s="226"/>
      <c r="Q450" s="223"/>
    </row>
    <row r="451" spans="1:17" ht="15.75" x14ac:dyDescent="0.25">
      <c r="A451" s="282"/>
      <c r="B451" s="282"/>
      <c r="C451" s="282"/>
      <c r="D451" s="282"/>
      <c r="E451" s="282"/>
      <c r="F451" s="282"/>
      <c r="G451" s="282"/>
      <c r="H451" s="282"/>
      <c r="I451" s="282"/>
      <c r="J451" s="282"/>
      <c r="K451" s="282"/>
      <c r="L451" s="282"/>
      <c r="M451" s="282"/>
      <c r="N451" s="282"/>
      <c r="O451" s="282"/>
      <c r="P451" s="282"/>
      <c r="Q451" s="282"/>
    </row>
    <row r="452" spans="1:17" ht="15.75" x14ac:dyDescent="0.25">
      <c r="A452" s="4"/>
      <c r="B452" s="226"/>
      <c r="C452" s="4"/>
      <c r="D452" s="228"/>
      <c r="E452" s="228"/>
      <c r="F452" s="228"/>
      <c r="G452" s="229"/>
      <c r="H452" s="229"/>
      <c r="I452" s="229"/>
      <c r="J452" s="228"/>
      <c r="K452" s="228"/>
      <c r="L452" s="228"/>
      <c r="M452" s="228"/>
      <c r="N452" s="228"/>
      <c r="O452" s="228"/>
      <c r="P452" s="228"/>
      <c r="Q452" s="4"/>
    </row>
    <row r="453" spans="1:17" ht="15.75" x14ac:dyDescent="0.25">
      <c r="A453" s="4"/>
      <c r="B453" s="226"/>
      <c r="C453" s="4"/>
      <c r="D453" s="228"/>
      <c r="E453" s="228"/>
      <c r="F453" s="228"/>
      <c r="G453" s="229"/>
      <c r="H453" s="229"/>
      <c r="I453" s="229"/>
      <c r="J453" s="228"/>
      <c r="K453" s="228"/>
      <c r="L453" s="228"/>
      <c r="M453" s="228"/>
      <c r="N453" s="228"/>
      <c r="O453" s="228"/>
      <c r="P453" s="228"/>
      <c r="Q453" s="4"/>
    </row>
    <row r="454" spans="1:17" ht="15.75" x14ac:dyDescent="0.25">
      <c r="A454" s="4"/>
      <c r="B454" s="226"/>
      <c r="C454" s="4"/>
      <c r="D454" s="228"/>
      <c r="E454" s="228"/>
      <c r="F454" s="228"/>
      <c r="G454" s="229"/>
      <c r="H454" s="229"/>
      <c r="I454" s="229"/>
      <c r="J454" s="228"/>
      <c r="K454" s="228"/>
      <c r="L454" s="228"/>
      <c r="M454" s="228"/>
      <c r="N454" s="228"/>
      <c r="O454" s="228"/>
      <c r="P454" s="228"/>
      <c r="Q454" s="4"/>
    </row>
    <row r="455" spans="1:17" ht="15.75" x14ac:dyDescent="0.25">
      <c r="A455" s="4"/>
      <c r="B455" s="226"/>
      <c r="C455" s="4"/>
      <c r="D455" s="228"/>
      <c r="E455" s="228"/>
      <c r="F455" s="228"/>
      <c r="G455" s="229"/>
      <c r="H455" s="229"/>
      <c r="I455" s="229"/>
      <c r="J455" s="228"/>
      <c r="K455" s="228"/>
      <c r="L455" s="228"/>
      <c r="M455" s="228"/>
      <c r="N455" s="228"/>
      <c r="O455" s="228"/>
      <c r="P455" s="228"/>
      <c r="Q455" s="4"/>
    </row>
    <row r="456" spans="1:17" ht="15.75" x14ac:dyDescent="0.25">
      <c r="A456" s="280"/>
      <c r="B456" s="280"/>
      <c r="C456" s="280"/>
      <c r="D456" s="280"/>
      <c r="E456" s="280"/>
      <c r="F456" s="280"/>
      <c r="G456" s="280"/>
      <c r="H456" s="280"/>
      <c r="I456" s="280"/>
      <c r="J456" s="280"/>
      <c r="K456" s="280"/>
      <c r="L456" s="280"/>
      <c r="M456" s="280"/>
      <c r="N456" s="280"/>
      <c r="O456" s="280"/>
      <c r="P456" s="280"/>
      <c r="Q456" s="280"/>
    </row>
    <row r="457" spans="1:17" ht="15.75" x14ac:dyDescent="0.25">
      <c r="A457" s="4"/>
      <c r="B457" s="230"/>
      <c r="C457" s="4"/>
      <c r="D457" s="230"/>
      <c r="E457" s="230"/>
      <c r="F457" s="230"/>
      <c r="G457" s="231"/>
      <c r="H457" s="231"/>
      <c r="I457" s="231"/>
      <c r="J457" s="230"/>
      <c r="K457" s="230"/>
      <c r="L457" s="230"/>
      <c r="M457" s="230"/>
      <c r="N457" s="230"/>
      <c r="O457" s="230"/>
      <c r="P457" s="230"/>
      <c r="Q457" s="230"/>
    </row>
    <row r="458" spans="1:17" ht="15.75" x14ac:dyDescent="0.25">
      <c r="A458" s="4"/>
      <c r="B458" s="230"/>
      <c r="C458" s="4"/>
      <c r="D458" s="230"/>
      <c r="E458" s="230"/>
      <c r="F458" s="230"/>
      <c r="G458" s="231"/>
      <c r="H458" s="231"/>
      <c r="I458" s="231"/>
      <c r="J458" s="230"/>
      <c r="K458" s="230"/>
      <c r="L458" s="230"/>
      <c r="M458" s="230"/>
      <c r="N458" s="230"/>
      <c r="O458" s="230"/>
      <c r="P458" s="230"/>
      <c r="Q458" s="230"/>
    </row>
    <row r="459" spans="1:17" x14ac:dyDescent="0.25">
      <c r="A459" s="5"/>
      <c r="B459" s="232"/>
      <c r="C459" s="233"/>
      <c r="D459" s="232"/>
      <c r="E459" s="232"/>
      <c r="F459" s="232"/>
      <c r="G459" s="234"/>
      <c r="H459" s="234"/>
      <c r="I459" s="234"/>
      <c r="J459" s="232"/>
      <c r="K459" s="232"/>
      <c r="L459" s="232"/>
      <c r="M459" s="232"/>
      <c r="N459" s="232"/>
      <c r="O459" s="232"/>
      <c r="P459" s="232"/>
      <c r="Q459" s="235"/>
    </row>
    <row r="460" spans="1:17" x14ac:dyDescent="0.25">
      <c r="A460" s="6"/>
      <c r="B460" s="236"/>
      <c r="C460" s="7"/>
      <c r="D460" s="236"/>
      <c r="E460" s="236"/>
      <c r="F460" s="236"/>
      <c r="G460" s="237"/>
      <c r="H460" s="237"/>
      <c r="I460" s="237"/>
      <c r="J460" s="236"/>
      <c r="K460" s="236"/>
      <c r="L460" s="236"/>
      <c r="M460" s="236"/>
      <c r="N460" s="236"/>
      <c r="O460" s="236"/>
      <c r="P460" s="236"/>
      <c r="Q460" s="236"/>
    </row>
    <row r="461" spans="1:17" x14ac:dyDescent="0.25">
      <c r="A461" s="7"/>
      <c r="B461" s="236"/>
      <c r="C461" s="7"/>
      <c r="D461" s="236"/>
      <c r="E461" s="236"/>
      <c r="F461" s="236"/>
      <c r="G461" s="237"/>
      <c r="H461" s="237"/>
      <c r="I461" s="237"/>
      <c r="J461" s="236"/>
      <c r="K461" s="236"/>
      <c r="L461" s="236"/>
      <c r="M461" s="236"/>
      <c r="N461" s="236"/>
      <c r="O461" s="236"/>
      <c r="P461" s="236"/>
      <c r="Q461" s="236"/>
    </row>
    <row r="462" spans="1:17" x14ac:dyDescent="0.25">
      <c r="A462" s="7"/>
      <c r="B462" s="236"/>
      <c r="C462" s="7"/>
      <c r="D462" s="236"/>
      <c r="E462" s="236"/>
      <c r="F462" s="236"/>
      <c r="G462" s="237"/>
      <c r="H462" s="237"/>
      <c r="I462" s="237"/>
      <c r="J462" s="236"/>
      <c r="K462" s="236"/>
      <c r="L462" s="236"/>
      <c r="M462" s="236"/>
      <c r="N462" s="236"/>
      <c r="O462" s="236"/>
      <c r="P462" s="236"/>
      <c r="Q462" s="236"/>
    </row>
    <row r="463" spans="1:17" x14ac:dyDescent="0.25">
      <c r="A463" s="7"/>
      <c r="B463" s="236"/>
      <c r="C463" s="7"/>
      <c r="D463" s="236"/>
      <c r="E463" s="236"/>
      <c r="F463" s="236"/>
      <c r="G463" s="237"/>
      <c r="H463" s="237"/>
      <c r="I463" s="237"/>
      <c r="J463" s="236"/>
      <c r="K463" s="236"/>
      <c r="L463" s="236"/>
      <c r="M463" s="236"/>
      <c r="N463" s="236"/>
      <c r="O463" s="236"/>
      <c r="P463" s="236"/>
      <c r="Q463" s="236"/>
    </row>
    <row r="464" spans="1:17" x14ac:dyDescent="0.25">
      <c r="A464" s="7"/>
      <c r="B464" s="236"/>
      <c r="C464" s="7"/>
      <c r="D464" s="236"/>
      <c r="E464" s="236"/>
      <c r="F464" s="236"/>
      <c r="G464" s="237"/>
      <c r="H464" s="237"/>
      <c r="I464" s="237"/>
      <c r="J464" s="236"/>
      <c r="K464" s="236"/>
      <c r="L464" s="236"/>
      <c r="M464" s="236"/>
      <c r="N464" s="236"/>
      <c r="O464" s="236"/>
      <c r="P464" s="236"/>
      <c r="Q464" s="236"/>
    </row>
    <row r="465" spans="1:17" x14ac:dyDescent="0.25">
      <c r="A465" s="7"/>
      <c r="B465" s="236"/>
      <c r="C465" s="7"/>
      <c r="D465" s="236"/>
      <c r="E465" s="236"/>
      <c r="F465" s="236"/>
      <c r="G465" s="237"/>
      <c r="H465" s="237"/>
      <c r="I465" s="237"/>
      <c r="J465" s="236"/>
      <c r="K465" s="236"/>
      <c r="L465" s="236"/>
      <c r="M465" s="236"/>
      <c r="N465" s="236"/>
      <c r="O465" s="236"/>
      <c r="P465" s="236"/>
      <c r="Q465" s="236"/>
    </row>
    <row r="466" spans="1:17" x14ac:dyDescent="0.25">
      <c r="A466" s="7"/>
      <c r="B466" s="236"/>
      <c r="C466" s="7"/>
      <c r="D466" s="236"/>
      <c r="E466" s="236"/>
      <c r="F466" s="236"/>
      <c r="G466" s="237"/>
      <c r="H466" s="237"/>
      <c r="I466" s="237"/>
      <c r="J466" s="236"/>
      <c r="K466" s="236"/>
      <c r="L466" s="236"/>
      <c r="M466" s="236"/>
      <c r="N466" s="236"/>
      <c r="O466" s="236"/>
      <c r="P466" s="236"/>
      <c r="Q466" s="236"/>
    </row>
    <row r="467" spans="1:17" x14ac:dyDescent="0.25">
      <c r="A467" s="7"/>
      <c r="B467" s="236"/>
      <c r="C467" s="7"/>
      <c r="D467" s="236"/>
      <c r="E467" s="236"/>
      <c r="F467" s="236"/>
      <c r="G467" s="237"/>
      <c r="H467" s="237"/>
      <c r="I467" s="237"/>
      <c r="J467" s="236"/>
      <c r="K467" s="236"/>
      <c r="L467" s="236"/>
      <c r="M467" s="236"/>
      <c r="N467" s="236"/>
      <c r="O467" s="236"/>
      <c r="P467" s="236"/>
      <c r="Q467" s="236"/>
    </row>
    <row r="468" spans="1:17" x14ac:dyDescent="0.25">
      <c r="A468" s="7"/>
      <c r="B468" s="236"/>
      <c r="C468" s="7"/>
      <c r="D468" s="236"/>
      <c r="E468" s="236"/>
      <c r="F468" s="236"/>
      <c r="G468" s="237"/>
      <c r="H468" s="237"/>
      <c r="I468" s="237"/>
      <c r="J468" s="236"/>
      <c r="K468" s="236"/>
      <c r="L468" s="236"/>
      <c r="M468" s="236"/>
      <c r="N468" s="236"/>
      <c r="O468" s="236"/>
      <c r="P468" s="236"/>
      <c r="Q468" s="236"/>
    </row>
    <row r="469" spans="1:17" x14ac:dyDescent="0.25">
      <c r="A469" s="7"/>
      <c r="B469" s="236"/>
      <c r="C469" s="7"/>
      <c r="D469" s="236"/>
      <c r="E469" s="236"/>
      <c r="F469" s="236"/>
      <c r="G469" s="237"/>
      <c r="H469" s="237"/>
      <c r="I469" s="237"/>
      <c r="J469" s="236"/>
      <c r="K469" s="236"/>
      <c r="L469" s="236"/>
      <c r="M469" s="236"/>
      <c r="N469" s="236"/>
      <c r="O469" s="236"/>
      <c r="P469" s="236"/>
      <c r="Q469" s="236"/>
    </row>
    <row r="470" spans="1:17" x14ac:dyDescent="0.25">
      <c r="A470" s="2"/>
      <c r="B470" s="238"/>
      <c r="C470" s="2"/>
      <c r="D470" s="238"/>
      <c r="E470" s="238"/>
      <c r="F470" s="238"/>
      <c r="G470" s="239"/>
      <c r="H470" s="239"/>
      <c r="I470" s="239"/>
      <c r="J470" s="238"/>
      <c r="K470" s="238"/>
      <c r="L470" s="238"/>
      <c r="M470" s="238"/>
      <c r="N470" s="238"/>
      <c r="O470" s="238"/>
      <c r="P470" s="238"/>
      <c r="Q470" s="238"/>
    </row>
  </sheetData>
  <mergeCells count="98">
    <mergeCell ref="A315:B315"/>
    <mergeCell ref="A209:C209"/>
    <mergeCell ref="A82:C82"/>
    <mergeCell ref="A266:C266"/>
    <mergeCell ref="A187:B187"/>
    <mergeCell ref="B238:C238"/>
    <mergeCell ref="B212:C212"/>
    <mergeCell ref="A189:C189"/>
    <mergeCell ref="A244:C244"/>
    <mergeCell ref="B214:C214"/>
    <mergeCell ref="A254:B254"/>
    <mergeCell ref="A156:A161"/>
    <mergeCell ref="B162:B163"/>
    <mergeCell ref="A162:A163"/>
    <mergeCell ref="A188:C188"/>
    <mergeCell ref="B297:C297"/>
    <mergeCell ref="B30:C30"/>
    <mergeCell ref="A26:B26"/>
    <mergeCell ref="A171:A179"/>
    <mergeCell ref="A135:B135"/>
    <mergeCell ref="B139:C139"/>
    <mergeCell ref="A119:B119"/>
    <mergeCell ref="B146:C146"/>
    <mergeCell ref="A134:B134"/>
    <mergeCell ref="A153:A155"/>
    <mergeCell ref="B156:B161"/>
    <mergeCell ref="B164:B165"/>
    <mergeCell ref="A164:A165"/>
    <mergeCell ref="A407:C407"/>
    <mergeCell ref="B392:C392"/>
    <mergeCell ref="P1:Q1"/>
    <mergeCell ref="B166:B170"/>
    <mergeCell ref="A94:C94"/>
    <mergeCell ref="B70:C70"/>
    <mergeCell ref="B3:B4"/>
    <mergeCell ref="C3:C4"/>
    <mergeCell ref="A3:A4"/>
    <mergeCell ref="A2:Q2"/>
    <mergeCell ref="B37:C37"/>
    <mergeCell ref="A6:C6"/>
    <mergeCell ref="D3:Q3"/>
    <mergeCell ref="A7:B7"/>
    <mergeCell ref="B11:C11"/>
    <mergeCell ref="A27:C27"/>
    <mergeCell ref="A314:B314"/>
    <mergeCell ref="A441:C441"/>
    <mergeCell ref="A456:Q456"/>
    <mergeCell ref="B349:C349"/>
    <mergeCell ref="A375:B375"/>
    <mergeCell ref="B376:C376"/>
    <mergeCell ref="A408:B408"/>
    <mergeCell ref="A440:B440"/>
    <mergeCell ref="A445:B445"/>
    <mergeCell ref="A451:Q451"/>
    <mergeCell ref="B378:C378"/>
    <mergeCell ref="A368:B368"/>
    <mergeCell ref="A371:B371"/>
    <mergeCell ref="A355:C355"/>
    <mergeCell ref="A359:B359"/>
    <mergeCell ref="A401:B401"/>
    <mergeCell ref="B61:C61"/>
    <mergeCell ref="B67:C67"/>
    <mergeCell ref="A406:B406"/>
    <mergeCell ref="A444:B444"/>
    <mergeCell ref="A166:A170"/>
    <mergeCell ref="A403:C403"/>
    <mergeCell ref="A402:C402"/>
    <mergeCell ref="B221:C221"/>
    <mergeCell ref="B338:C338"/>
    <mergeCell ref="B336:C336"/>
    <mergeCell ref="B346:C346"/>
    <mergeCell ref="B344:C344"/>
    <mergeCell ref="A316:C316"/>
    <mergeCell ref="A273:B273"/>
    <mergeCell ref="A317:B317"/>
    <mergeCell ref="B308:C308"/>
    <mergeCell ref="A272:B272"/>
    <mergeCell ref="A284:B284"/>
    <mergeCell ref="A81:B81"/>
    <mergeCell ref="A93:B93"/>
    <mergeCell ref="A110:B110"/>
    <mergeCell ref="A118:B118"/>
    <mergeCell ref="B180:C180"/>
    <mergeCell ref="B153:B155"/>
    <mergeCell ref="B171:B179"/>
    <mergeCell ref="A374:B374"/>
    <mergeCell ref="A400:B400"/>
    <mergeCell ref="A326:C326"/>
    <mergeCell ref="A325:B325"/>
    <mergeCell ref="A354:B354"/>
    <mergeCell ref="A358:B358"/>
    <mergeCell ref="A367:B367"/>
    <mergeCell ref="A186:B186"/>
    <mergeCell ref="A285:B285"/>
    <mergeCell ref="A208:B208"/>
    <mergeCell ref="A243:B243"/>
    <mergeCell ref="A253:B253"/>
    <mergeCell ref="A265:B265"/>
  </mergeCells>
  <printOptions horizontalCentered="1"/>
  <pageMargins left="0.19685039370078741" right="0.19685039370078741" top="0.47244094488188981" bottom="0.19685039370078741" header="0.11811023622047245" footer="7.874015748031496E-2"/>
  <pageSetup paperSize="9" scale="66" fitToHeight="0" orientation="landscape" r:id="rId1"/>
  <headerFooter>
    <oddHeader>&amp;C&amp;P</oddHeader>
  </headerFooter>
  <ignoredErrors>
    <ignoredError sqref="K10 O10 I23 M33 F31 F40 L39:L40 N40:O40 O39 I39 L51 N51 G51 E46 F63 J62 K63 N63 N65 F66 I54 G55 M54:M55 P54 M23 M74 O74 J74 G73 H89 I104 O104 I131 I137 K137 M137 O137 I181 K182:L182 N195:N196 L196 J194 L218 L215 D223:Q223 P218 G252 O246:P246 O256 L256:L257 E256 J260 F262 F270:G270 Q270 D294:Q294 D312:Q312 I337:J337 K337 P335 O333:O334 O331 L333 L331 N337:O337 M118 O3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0"/>
  <sheetViews>
    <sheetView tabSelected="1" topLeftCell="A295" zoomScaleNormal="100" workbookViewId="0">
      <selection activeCell="D318" sqref="D318"/>
    </sheetView>
  </sheetViews>
  <sheetFormatPr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" customWidth="1"/>
    <col min="5" max="6" width="9.140625" style="1"/>
    <col min="7" max="7" width="9.140625" style="53"/>
    <col min="8" max="16384" width="9.140625" style="1"/>
  </cols>
  <sheetData>
    <row r="1" spans="1:17" ht="15" x14ac:dyDescent="0.2">
      <c r="A1" s="155"/>
      <c r="B1" s="155"/>
      <c r="C1" s="155"/>
      <c r="D1" s="155"/>
      <c r="E1" s="155"/>
      <c r="F1" s="155"/>
      <c r="G1" s="156"/>
      <c r="H1" s="155"/>
      <c r="I1" s="155"/>
      <c r="J1" s="155"/>
      <c r="K1" s="155"/>
      <c r="L1" s="157"/>
      <c r="M1" s="155"/>
      <c r="N1" s="155"/>
      <c r="O1" s="335"/>
      <c r="P1" s="335"/>
      <c r="Q1" s="335"/>
    </row>
    <row r="2" spans="1:17" ht="14.25" customHeight="1" x14ac:dyDescent="0.2">
      <c r="A2" s="158" t="s">
        <v>575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340" t="s">
        <v>1109</v>
      </c>
      <c r="O2" s="340"/>
      <c r="P2" s="340"/>
      <c r="Q2" s="340"/>
    </row>
    <row r="3" spans="1:17" ht="14.25" customHeight="1" x14ac:dyDescent="0.2">
      <c r="A3" s="341" t="s">
        <v>1110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</row>
    <row r="4" spans="1:17" ht="85.5" x14ac:dyDescent="0.2">
      <c r="A4" s="79" t="s">
        <v>5</v>
      </c>
      <c r="B4" s="80" t="s">
        <v>576</v>
      </c>
      <c r="C4" s="80" t="s">
        <v>0</v>
      </c>
      <c r="D4" s="336" t="s">
        <v>577</v>
      </c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</row>
    <row r="5" spans="1:17" ht="14.25" x14ac:dyDescent="0.2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80">
        <v>6</v>
      </c>
      <c r="G5" s="81">
        <v>7</v>
      </c>
      <c r="H5" s="80">
        <v>8</v>
      </c>
      <c r="I5" s="80">
        <v>9</v>
      </c>
      <c r="J5" s="80">
        <v>10</v>
      </c>
      <c r="K5" s="80">
        <v>11</v>
      </c>
      <c r="L5" s="82">
        <v>12</v>
      </c>
      <c r="M5" s="80">
        <v>13</v>
      </c>
      <c r="N5" s="80">
        <v>14</v>
      </c>
      <c r="O5" s="80">
        <v>15</v>
      </c>
      <c r="P5" s="80">
        <v>16</v>
      </c>
      <c r="Q5" s="80">
        <v>17</v>
      </c>
    </row>
    <row r="6" spans="1:17" ht="14.25" x14ac:dyDescent="0.2">
      <c r="A6" s="83"/>
      <c r="B6" s="84"/>
      <c r="C6" s="85"/>
      <c r="D6" s="80">
        <v>2022</v>
      </c>
      <c r="E6" s="80">
        <v>2023</v>
      </c>
      <c r="F6" s="80">
        <v>2024</v>
      </c>
      <c r="G6" s="81">
        <v>2025</v>
      </c>
      <c r="H6" s="80">
        <v>2026</v>
      </c>
      <c r="I6" s="80">
        <v>2027</v>
      </c>
      <c r="J6" s="80">
        <v>2028</v>
      </c>
      <c r="K6" s="80">
        <v>2029</v>
      </c>
      <c r="L6" s="82">
        <v>2030</v>
      </c>
      <c r="M6" s="80">
        <v>2031</v>
      </c>
      <c r="N6" s="80">
        <v>2032</v>
      </c>
      <c r="O6" s="80">
        <v>2033</v>
      </c>
      <c r="P6" s="80">
        <v>2034</v>
      </c>
      <c r="Q6" s="80">
        <v>2035</v>
      </c>
    </row>
    <row r="7" spans="1:17" ht="15" x14ac:dyDescent="0.2">
      <c r="A7" s="337" t="s">
        <v>578</v>
      </c>
      <c r="B7" s="338"/>
      <c r="C7" s="338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159"/>
      <c r="P7" s="160"/>
      <c r="Q7" s="161"/>
    </row>
    <row r="8" spans="1:17" ht="15" x14ac:dyDescent="0.2">
      <c r="A8" s="162" t="s">
        <v>579</v>
      </c>
      <c r="B8" s="87"/>
      <c r="C8" s="163"/>
      <c r="D8" s="164"/>
      <c r="E8" s="164"/>
      <c r="F8" s="164"/>
      <c r="G8" s="165"/>
      <c r="H8" s="164"/>
      <c r="I8" s="164"/>
      <c r="J8" s="164"/>
      <c r="K8" s="164"/>
      <c r="L8" s="164"/>
      <c r="M8" s="164"/>
      <c r="N8" s="164"/>
      <c r="O8" s="90"/>
      <c r="P8" s="107"/>
      <c r="Q8" s="166"/>
    </row>
    <row r="9" spans="1:17" ht="15" x14ac:dyDescent="0.2">
      <c r="A9" s="167" t="s">
        <v>10</v>
      </c>
      <c r="B9" s="88"/>
      <c r="C9" s="89"/>
      <c r="D9" s="90"/>
      <c r="E9" s="90"/>
      <c r="F9" s="90"/>
      <c r="G9" s="91"/>
      <c r="H9" s="90"/>
      <c r="I9" s="90"/>
      <c r="J9" s="90"/>
      <c r="K9" s="90"/>
      <c r="L9" s="90"/>
      <c r="M9" s="90"/>
      <c r="N9" s="90"/>
      <c r="O9" s="107"/>
      <c r="P9" s="107"/>
      <c r="Q9" s="166"/>
    </row>
    <row r="10" spans="1:17" ht="15" x14ac:dyDescent="0.2">
      <c r="A10" s="9" t="s">
        <v>28</v>
      </c>
      <c r="B10" s="310" t="s">
        <v>29</v>
      </c>
      <c r="C10" s="310"/>
      <c r="D10" s="9"/>
      <c r="E10" s="9"/>
      <c r="F10" s="9"/>
      <c r="G10" s="16"/>
      <c r="H10" s="9"/>
      <c r="I10" s="9"/>
      <c r="J10" s="9"/>
      <c r="K10" s="9"/>
      <c r="L10" s="9"/>
      <c r="M10" s="9"/>
      <c r="N10" s="9"/>
      <c r="O10" s="90"/>
      <c r="P10" s="164"/>
      <c r="Q10" s="166"/>
    </row>
    <row r="11" spans="1:17" ht="18" customHeight="1" x14ac:dyDescent="0.2">
      <c r="A11" s="339" t="s">
        <v>580</v>
      </c>
      <c r="B11" s="310" t="s">
        <v>581</v>
      </c>
      <c r="C11" s="9" t="s">
        <v>582</v>
      </c>
      <c r="D11" s="94">
        <f>500</f>
        <v>500</v>
      </c>
      <c r="E11" s="94">
        <f>570</f>
        <v>570</v>
      </c>
      <c r="F11" s="94">
        <f>600</f>
        <v>600</v>
      </c>
      <c r="G11" s="94">
        <f>650</f>
        <v>650</v>
      </c>
      <c r="H11" s="94">
        <f>700</f>
        <v>700</v>
      </c>
      <c r="I11" s="94">
        <f>800</f>
        <v>800</v>
      </c>
      <c r="J11" s="94">
        <f>850</f>
        <v>850</v>
      </c>
      <c r="K11" s="94">
        <f>900</f>
        <v>900</v>
      </c>
      <c r="L11" s="94">
        <f>900</f>
        <v>900</v>
      </c>
      <c r="M11" s="94">
        <f>970</f>
        <v>970</v>
      </c>
      <c r="N11" s="94">
        <f>1000</f>
        <v>1000</v>
      </c>
      <c r="O11" s="94">
        <f>1150</f>
        <v>1150</v>
      </c>
      <c r="P11" s="95">
        <f>1200</f>
        <v>1200</v>
      </c>
      <c r="Q11" s="95">
        <f>1200</f>
        <v>1200</v>
      </c>
    </row>
    <row r="12" spans="1:17" ht="33" customHeight="1" x14ac:dyDescent="0.2">
      <c r="A12" s="339"/>
      <c r="B12" s="310"/>
      <c r="C12" s="9" t="s">
        <v>583</v>
      </c>
      <c r="D12" s="94">
        <f>420</f>
        <v>420</v>
      </c>
      <c r="E12" s="94">
        <f>450</f>
        <v>450</v>
      </c>
      <c r="F12" s="94">
        <f>480</f>
        <v>480</v>
      </c>
      <c r="G12" s="94">
        <f>530</f>
        <v>530</v>
      </c>
      <c r="H12" s="94">
        <f>600</f>
        <v>600</v>
      </c>
      <c r="I12" s="94">
        <f>650</f>
        <v>650</v>
      </c>
      <c r="J12" s="94">
        <f>700</f>
        <v>700</v>
      </c>
      <c r="K12" s="94">
        <f>800</f>
        <v>800</v>
      </c>
      <c r="L12" s="94">
        <f>800</f>
        <v>800</v>
      </c>
      <c r="M12" s="94">
        <f>850</f>
        <v>850</v>
      </c>
      <c r="N12" s="94">
        <f>900</f>
        <v>900</v>
      </c>
      <c r="O12" s="94">
        <f>1000</f>
        <v>1000</v>
      </c>
      <c r="P12" s="94">
        <f>1100</f>
        <v>1100</v>
      </c>
      <c r="Q12" s="94">
        <f>1100</f>
        <v>1100</v>
      </c>
    </row>
    <row r="13" spans="1:17" ht="49.5" customHeight="1" x14ac:dyDescent="0.2">
      <c r="A13" s="330" t="s">
        <v>584</v>
      </c>
      <c r="B13" s="327" t="s">
        <v>585</v>
      </c>
      <c r="C13" s="9" t="s">
        <v>586</v>
      </c>
      <c r="D13" s="45">
        <f>10+35</f>
        <v>45</v>
      </c>
      <c r="E13" s="45">
        <f>10+40</f>
        <v>50</v>
      </c>
      <c r="F13" s="45">
        <f>10+45</f>
        <v>55</v>
      </c>
      <c r="G13" s="45">
        <f>10+45</f>
        <v>55</v>
      </c>
      <c r="H13" s="45">
        <f>10+50</f>
        <v>60</v>
      </c>
      <c r="I13" s="45">
        <f>10+55</f>
        <v>65</v>
      </c>
      <c r="J13" s="45">
        <f>10+65</f>
        <v>75</v>
      </c>
      <c r="K13" s="45">
        <f>10+70</f>
        <v>80</v>
      </c>
      <c r="L13" s="45">
        <f>10+80</f>
        <v>90</v>
      </c>
      <c r="M13" s="45">
        <f>10+80</f>
        <v>90</v>
      </c>
      <c r="N13" s="45">
        <f>10+90</f>
        <v>100</v>
      </c>
      <c r="O13" s="45">
        <f>10+100</f>
        <v>110</v>
      </c>
      <c r="P13" s="45">
        <f>10+120</f>
        <v>130</v>
      </c>
      <c r="Q13" s="45">
        <f>10+130</f>
        <v>140</v>
      </c>
    </row>
    <row r="14" spans="1:17" ht="30.75" customHeight="1" x14ac:dyDescent="0.2">
      <c r="A14" s="331"/>
      <c r="B14" s="329"/>
      <c r="C14" s="59" t="s">
        <v>913</v>
      </c>
      <c r="D14" s="45">
        <f>10+55</f>
        <v>65</v>
      </c>
      <c r="E14" s="45">
        <f>10+60</f>
        <v>70</v>
      </c>
      <c r="F14" s="45">
        <f>10+65</f>
        <v>75</v>
      </c>
      <c r="G14" s="45">
        <f>10+65</f>
        <v>75</v>
      </c>
      <c r="H14" s="45">
        <f>10+70</f>
        <v>80</v>
      </c>
      <c r="I14" s="45">
        <f>10+75</f>
        <v>85</v>
      </c>
      <c r="J14" s="45">
        <f>10+85</f>
        <v>95</v>
      </c>
      <c r="K14" s="45">
        <f>10+90</f>
        <v>100</v>
      </c>
      <c r="L14" s="45">
        <f>10+100</f>
        <v>110</v>
      </c>
      <c r="M14" s="45">
        <f>10+100</f>
        <v>110</v>
      </c>
      <c r="N14" s="45">
        <f>10+110</f>
        <v>120</v>
      </c>
      <c r="O14" s="45">
        <f>10+120</f>
        <v>130</v>
      </c>
      <c r="P14" s="45">
        <f>10+140</f>
        <v>150</v>
      </c>
      <c r="Q14" s="45">
        <f>10+150</f>
        <v>160</v>
      </c>
    </row>
    <row r="15" spans="1:17" ht="51.75" customHeight="1" x14ac:dyDescent="0.2">
      <c r="A15" s="308" t="s">
        <v>587</v>
      </c>
      <c r="B15" s="309" t="s">
        <v>588</v>
      </c>
      <c r="C15" s="59" t="s">
        <v>589</v>
      </c>
      <c r="D15" s="45">
        <f>80</f>
        <v>80</v>
      </c>
      <c r="E15" s="45">
        <f>88</f>
        <v>88</v>
      </c>
      <c r="F15" s="45">
        <f>93</f>
        <v>93</v>
      </c>
      <c r="G15" s="94">
        <f>100</f>
        <v>100</v>
      </c>
      <c r="H15" s="96">
        <f>110</f>
        <v>110</v>
      </c>
      <c r="I15" s="96">
        <f>120</f>
        <v>120</v>
      </c>
      <c r="J15" s="96">
        <f>135</f>
        <v>135</v>
      </c>
      <c r="K15" s="96">
        <f>150</f>
        <v>150</v>
      </c>
      <c r="L15" s="94">
        <f>150</f>
        <v>150</v>
      </c>
      <c r="M15" s="96">
        <f>160</f>
        <v>160</v>
      </c>
      <c r="N15" s="96">
        <f>175</f>
        <v>175</v>
      </c>
      <c r="O15" s="96">
        <f>175</f>
        <v>175</v>
      </c>
      <c r="P15" s="95">
        <f>180</f>
        <v>180</v>
      </c>
      <c r="Q15" s="95">
        <f>200</f>
        <v>200</v>
      </c>
    </row>
    <row r="16" spans="1:17" ht="31.5" customHeight="1" x14ac:dyDescent="0.2">
      <c r="A16" s="308"/>
      <c r="B16" s="309"/>
      <c r="C16" s="59" t="s">
        <v>590</v>
      </c>
      <c r="D16" s="45">
        <f>90</f>
        <v>90</v>
      </c>
      <c r="E16" s="45">
        <f>95</f>
        <v>95</v>
      </c>
      <c r="F16" s="45">
        <f>100</f>
        <v>100</v>
      </c>
      <c r="G16" s="94">
        <f>110</f>
        <v>110</v>
      </c>
      <c r="H16" s="96">
        <f>120</f>
        <v>120</v>
      </c>
      <c r="I16" s="96">
        <f>130</f>
        <v>130</v>
      </c>
      <c r="J16" s="96">
        <f>140</f>
        <v>140</v>
      </c>
      <c r="K16" s="96">
        <f>155</f>
        <v>155</v>
      </c>
      <c r="L16" s="94">
        <f>155</f>
        <v>155</v>
      </c>
      <c r="M16" s="96">
        <f>165</f>
        <v>165</v>
      </c>
      <c r="N16" s="96">
        <f>180</f>
        <v>180</v>
      </c>
      <c r="O16" s="45">
        <f>180</f>
        <v>180</v>
      </c>
      <c r="P16" s="95">
        <f>200</f>
        <v>200</v>
      </c>
      <c r="Q16" s="95">
        <f>220</f>
        <v>220</v>
      </c>
    </row>
    <row r="17" spans="1:17" ht="18.75" customHeight="1" x14ac:dyDescent="0.2">
      <c r="A17" s="308" t="s">
        <v>591</v>
      </c>
      <c r="B17" s="309" t="s">
        <v>592</v>
      </c>
      <c r="C17" s="59" t="s">
        <v>593</v>
      </c>
      <c r="D17" s="45">
        <f>60</f>
        <v>60</v>
      </c>
      <c r="E17" s="45">
        <f>70</f>
        <v>70</v>
      </c>
      <c r="F17" s="45">
        <f>85</f>
        <v>85</v>
      </c>
      <c r="G17" s="45">
        <f>93</f>
        <v>93</v>
      </c>
      <c r="H17" s="96">
        <f>95</f>
        <v>95</v>
      </c>
      <c r="I17" s="96">
        <f>100</f>
        <v>100</v>
      </c>
      <c r="J17" s="96">
        <f>120</f>
        <v>120</v>
      </c>
      <c r="K17" s="96">
        <f>130</f>
        <v>130</v>
      </c>
      <c r="L17" s="94">
        <f>130</f>
        <v>130</v>
      </c>
      <c r="M17" s="96">
        <f>145</f>
        <v>145</v>
      </c>
      <c r="N17" s="96">
        <f>150</f>
        <v>150</v>
      </c>
      <c r="O17" s="45">
        <f>170</f>
        <v>170</v>
      </c>
      <c r="P17" s="95">
        <f>180</f>
        <v>180</v>
      </c>
      <c r="Q17" s="95">
        <v>190</v>
      </c>
    </row>
    <row r="18" spans="1:17" ht="16.5" customHeight="1" x14ac:dyDescent="0.2">
      <c r="A18" s="308"/>
      <c r="B18" s="309"/>
      <c r="C18" s="59" t="s">
        <v>594</v>
      </c>
      <c r="D18" s="45">
        <f>70</f>
        <v>70</v>
      </c>
      <c r="E18" s="45">
        <f>80</f>
        <v>80</v>
      </c>
      <c r="F18" s="45">
        <f>95</f>
        <v>95</v>
      </c>
      <c r="G18" s="94">
        <f>100</f>
        <v>100</v>
      </c>
      <c r="H18" s="96">
        <f>110</f>
        <v>110</v>
      </c>
      <c r="I18" s="96">
        <f>117</f>
        <v>117</v>
      </c>
      <c r="J18" s="96">
        <f>125</f>
        <v>125</v>
      </c>
      <c r="K18" s="96">
        <f>140</f>
        <v>140</v>
      </c>
      <c r="L18" s="94">
        <f>150</f>
        <v>150</v>
      </c>
      <c r="M18" s="96">
        <f>155</f>
        <v>155</v>
      </c>
      <c r="N18" s="96">
        <f>167</f>
        <v>167</v>
      </c>
      <c r="O18" s="45">
        <f>180</f>
        <v>180</v>
      </c>
      <c r="P18" s="95">
        <f>200</f>
        <v>200</v>
      </c>
      <c r="Q18" s="95">
        <f>220</f>
        <v>220</v>
      </c>
    </row>
    <row r="19" spans="1:17" ht="14.25" customHeight="1" x14ac:dyDescent="0.2">
      <c r="A19" s="308"/>
      <c r="B19" s="309"/>
      <c r="C19" s="59" t="s">
        <v>595</v>
      </c>
      <c r="D19" s="45">
        <f>70</f>
        <v>70</v>
      </c>
      <c r="E19" s="45">
        <f>75</f>
        <v>75</v>
      </c>
      <c r="F19" s="45">
        <f>80</f>
        <v>80</v>
      </c>
      <c r="G19" s="94">
        <f>90</f>
        <v>90</v>
      </c>
      <c r="H19" s="96">
        <f>100</f>
        <v>100</v>
      </c>
      <c r="I19" s="96">
        <f>105</f>
        <v>105</v>
      </c>
      <c r="J19" s="96">
        <f>110</f>
        <v>110</v>
      </c>
      <c r="K19" s="96">
        <f>120</f>
        <v>120</v>
      </c>
      <c r="L19" s="94">
        <f>130</f>
        <v>130</v>
      </c>
      <c r="M19" s="96">
        <f>150</f>
        <v>150</v>
      </c>
      <c r="N19" s="96">
        <f>170</f>
        <v>170</v>
      </c>
      <c r="O19" s="45">
        <f>175</f>
        <v>175</v>
      </c>
      <c r="P19" s="95">
        <f>190</f>
        <v>190</v>
      </c>
      <c r="Q19" s="95">
        <f>210</f>
        <v>210</v>
      </c>
    </row>
    <row r="20" spans="1:17" ht="18.75" customHeight="1" x14ac:dyDescent="0.2">
      <c r="A20" s="308"/>
      <c r="B20" s="309"/>
      <c r="C20" s="59" t="s">
        <v>596</v>
      </c>
      <c r="D20" s="45">
        <f>75</f>
        <v>75</v>
      </c>
      <c r="E20" s="45">
        <f>85</f>
        <v>85</v>
      </c>
      <c r="F20" s="45">
        <f>93</f>
        <v>93</v>
      </c>
      <c r="G20" s="94">
        <f>98</f>
        <v>98</v>
      </c>
      <c r="H20" s="96">
        <f>110</f>
        <v>110</v>
      </c>
      <c r="I20" s="96">
        <f>120</f>
        <v>120</v>
      </c>
      <c r="J20" s="94">
        <f>130</f>
        <v>130</v>
      </c>
      <c r="K20" s="96">
        <f>150</f>
        <v>150</v>
      </c>
      <c r="L20" s="94">
        <f>160</f>
        <v>160</v>
      </c>
      <c r="M20" s="96">
        <f>180</f>
        <v>180</v>
      </c>
      <c r="N20" s="96">
        <f>190</f>
        <v>190</v>
      </c>
      <c r="O20" s="96">
        <f>190</f>
        <v>190</v>
      </c>
      <c r="P20" s="96">
        <f>190</f>
        <v>190</v>
      </c>
      <c r="Q20" s="95">
        <f>200</f>
        <v>200</v>
      </c>
    </row>
    <row r="21" spans="1:17" ht="15" customHeight="1" x14ac:dyDescent="0.2">
      <c r="A21" s="308" t="s">
        <v>597</v>
      </c>
      <c r="B21" s="309" t="s">
        <v>598</v>
      </c>
      <c r="C21" s="59" t="s">
        <v>599</v>
      </c>
      <c r="D21" s="45">
        <f>85</f>
        <v>85</v>
      </c>
      <c r="E21" s="45">
        <f>95</f>
        <v>95</v>
      </c>
      <c r="F21" s="20">
        <f>107</f>
        <v>107</v>
      </c>
      <c r="G21" s="94">
        <f>110</f>
        <v>110</v>
      </c>
      <c r="H21" s="32">
        <f>120</f>
        <v>120</v>
      </c>
      <c r="I21" s="32">
        <f>135</f>
        <v>135</v>
      </c>
      <c r="J21" s="32">
        <f>135</f>
        <v>135</v>
      </c>
      <c r="K21" s="32">
        <f>145</f>
        <v>145</v>
      </c>
      <c r="L21" s="32">
        <f>155</f>
        <v>155</v>
      </c>
      <c r="M21" s="94">
        <f>170</f>
        <v>170</v>
      </c>
      <c r="N21" s="32">
        <f>180</f>
        <v>180</v>
      </c>
      <c r="O21" s="20">
        <f>190</f>
        <v>190</v>
      </c>
      <c r="P21" s="97">
        <f>200</f>
        <v>200</v>
      </c>
      <c r="Q21" s="95">
        <f>215</f>
        <v>215</v>
      </c>
    </row>
    <row r="22" spans="1:17" ht="17.25" customHeight="1" x14ac:dyDescent="0.2">
      <c r="A22" s="308"/>
      <c r="B22" s="309"/>
      <c r="C22" s="59" t="s">
        <v>600</v>
      </c>
      <c r="D22" s="45">
        <f>70</f>
        <v>70</v>
      </c>
      <c r="E22" s="45">
        <f>80</f>
        <v>80</v>
      </c>
      <c r="F22" s="45">
        <f>95</f>
        <v>95</v>
      </c>
      <c r="G22" s="94">
        <f>100</f>
        <v>100</v>
      </c>
      <c r="H22" s="96">
        <f>110</f>
        <v>110</v>
      </c>
      <c r="I22" s="96">
        <f>117</f>
        <v>117</v>
      </c>
      <c r="J22" s="96">
        <f>125</f>
        <v>125</v>
      </c>
      <c r="K22" s="96">
        <f>140</f>
        <v>140</v>
      </c>
      <c r="L22" s="94">
        <f>150</f>
        <v>150</v>
      </c>
      <c r="M22" s="96">
        <f>155</f>
        <v>155</v>
      </c>
      <c r="N22" s="96">
        <f>167</f>
        <v>167</v>
      </c>
      <c r="O22" s="45">
        <f>180</f>
        <v>180</v>
      </c>
      <c r="P22" s="95">
        <f>200</f>
        <v>200</v>
      </c>
      <c r="Q22" s="95">
        <f>220</f>
        <v>220</v>
      </c>
    </row>
    <row r="23" spans="1:17" ht="48.75" customHeight="1" x14ac:dyDescent="0.2">
      <c r="A23" s="308"/>
      <c r="B23" s="309"/>
      <c r="C23" s="59" t="s">
        <v>601</v>
      </c>
      <c r="D23" s="45">
        <f>70</f>
        <v>70</v>
      </c>
      <c r="E23" s="45">
        <f>75</f>
        <v>75</v>
      </c>
      <c r="F23" s="45">
        <f>80</f>
        <v>80</v>
      </c>
      <c r="G23" s="94">
        <f>90</f>
        <v>90</v>
      </c>
      <c r="H23" s="96">
        <f>100</f>
        <v>100</v>
      </c>
      <c r="I23" s="96">
        <f>105</f>
        <v>105</v>
      </c>
      <c r="J23" s="96">
        <f>110</f>
        <v>110</v>
      </c>
      <c r="K23" s="96">
        <f>120</f>
        <v>120</v>
      </c>
      <c r="L23" s="94">
        <f>130</f>
        <v>130</v>
      </c>
      <c r="M23" s="96">
        <f>150</f>
        <v>150</v>
      </c>
      <c r="N23" s="96">
        <f>170</f>
        <v>170</v>
      </c>
      <c r="O23" s="45">
        <f>175</f>
        <v>175</v>
      </c>
      <c r="P23" s="95">
        <f>190</f>
        <v>190</v>
      </c>
      <c r="Q23" s="95">
        <f>210</f>
        <v>210</v>
      </c>
    </row>
    <row r="24" spans="1:17" ht="15" x14ac:dyDescent="0.2">
      <c r="A24" s="308"/>
      <c r="B24" s="309"/>
      <c r="C24" s="59" t="s">
        <v>602</v>
      </c>
      <c r="D24" s="45">
        <f>200</f>
        <v>200</v>
      </c>
      <c r="E24" s="45">
        <f>240</f>
        <v>240</v>
      </c>
      <c r="F24" s="45">
        <f>230</f>
        <v>230</v>
      </c>
      <c r="G24" s="95">
        <f>245</f>
        <v>245</v>
      </c>
      <c r="H24" s="95">
        <f>255</f>
        <v>255</v>
      </c>
      <c r="I24" s="95">
        <f>267</f>
        <v>267</v>
      </c>
      <c r="J24" s="95">
        <f>275</f>
        <v>275</v>
      </c>
      <c r="K24" s="95">
        <f>290</f>
        <v>290</v>
      </c>
      <c r="L24" s="95">
        <f>310</f>
        <v>310</v>
      </c>
      <c r="M24" s="95">
        <f>310</f>
        <v>310</v>
      </c>
      <c r="N24" s="95">
        <f>330</f>
        <v>330</v>
      </c>
      <c r="O24" s="95">
        <f>345</f>
        <v>345</v>
      </c>
      <c r="P24" s="45">
        <f>350</f>
        <v>350</v>
      </c>
      <c r="Q24" s="95">
        <f>370</f>
        <v>370</v>
      </c>
    </row>
    <row r="25" spans="1:17" ht="20.25" customHeight="1" x14ac:dyDescent="0.2">
      <c r="A25" s="308"/>
      <c r="B25" s="309"/>
      <c r="C25" s="59" t="s">
        <v>593</v>
      </c>
      <c r="D25" s="45">
        <f>65</f>
        <v>65</v>
      </c>
      <c r="E25" s="45">
        <f>70</f>
        <v>70</v>
      </c>
      <c r="F25" s="45">
        <f>70</f>
        <v>70</v>
      </c>
      <c r="G25" s="95">
        <f>78</f>
        <v>78</v>
      </c>
      <c r="H25" s="95">
        <f>85</f>
        <v>85</v>
      </c>
      <c r="I25" s="95">
        <f>95</f>
        <v>95</v>
      </c>
      <c r="J25" s="95">
        <f>107</f>
        <v>107</v>
      </c>
      <c r="K25" s="95">
        <f>115</f>
        <v>115</v>
      </c>
      <c r="L25" s="95">
        <f>125</f>
        <v>125</v>
      </c>
      <c r="M25" s="95">
        <f>135</f>
        <v>135</v>
      </c>
      <c r="N25" s="95">
        <f>150</f>
        <v>150</v>
      </c>
      <c r="O25" s="45">
        <f>170</f>
        <v>170</v>
      </c>
      <c r="P25" s="95">
        <f>180</f>
        <v>180</v>
      </c>
      <c r="Q25" s="95">
        <f>200</f>
        <v>200</v>
      </c>
    </row>
    <row r="26" spans="1:17" ht="34.5" customHeight="1" x14ac:dyDescent="0.2">
      <c r="A26" s="308"/>
      <c r="B26" s="309"/>
      <c r="C26" s="59" t="s">
        <v>603</v>
      </c>
      <c r="D26" s="45">
        <f>90</f>
        <v>90</v>
      </c>
      <c r="E26" s="45">
        <f>98</f>
        <v>98</v>
      </c>
      <c r="F26" s="45">
        <f>118</f>
        <v>118</v>
      </c>
      <c r="G26" s="95">
        <f>135</f>
        <v>135</v>
      </c>
      <c r="H26" s="95">
        <f>150</f>
        <v>150</v>
      </c>
      <c r="I26" s="95">
        <f>170</f>
        <v>170</v>
      </c>
      <c r="J26" s="95">
        <f>180</f>
        <v>180</v>
      </c>
      <c r="K26" s="95">
        <f>190</f>
        <v>190</v>
      </c>
      <c r="L26" s="95">
        <f>210</f>
        <v>210</v>
      </c>
      <c r="M26" s="95">
        <f>225</f>
        <v>225</v>
      </c>
      <c r="N26" s="95">
        <f>240</f>
        <v>240</v>
      </c>
      <c r="O26" s="45">
        <f>255</f>
        <v>255</v>
      </c>
      <c r="P26" s="95">
        <f>270</f>
        <v>270</v>
      </c>
      <c r="Q26" s="95">
        <f>280</f>
        <v>280</v>
      </c>
    </row>
    <row r="27" spans="1:17" ht="18" customHeight="1" x14ac:dyDescent="0.2">
      <c r="A27" s="308" t="s">
        <v>604</v>
      </c>
      <c r="B27" s="309" t="s">
        <v>605</v>
      </c>
      <c r="C27" s="14" t="s">
        <v>606</v>
      </c>
      <c r="D27" s="98">
        <f>5+3050</f>
        <v>3055</v>
      </c>
      <c r="E27" s="98">
        <f>5+3100</f>
        <v>3105</v>
      </c>
      <c r="F27" s="98">
        <f>5+3150</f>
        <v>3155</v>
      </c>
      <c r="G27" s="98">
        <f>5+3250</f>
        <v>3255</v>
      </c>
      <c r="H27" s="98">
        <f>5+3400</f>
        <v>3405</v>
      </c>
      <c r="I27" s="98">
        <f>5+3500</f>
        <v>3505</v>
      </c>
      <c r="J27" s="98">
        <f>5+3600</f>
        <v>3605</v>
      </c>
      <c r="K27" s="98">
        <f>5+3650</f>
        <v>3655</v>
      </c>
      <c r="L27" s="98">
        <f>5+3700</f>
        <v>3705</v>
      </c>
      <c r="M27" s="98">
        <f>5+3800</f>
        <v>3805</v>
      </c>
      <c r="N27" s="98">
        <f>5+3850</f>
        <v>3855</v>
      </c>
      <c r="O27" s="98">
        <f>5+3900</f>
        <v>3905</v>
      </c>
      <c r="P27" s="98">
        <f>5+4000</f>
        <v>4005</v>
      </c>
      <c r="Q27" s="98">
        <f>5+4150</f>
        <v>4155</v>
      </c>
    </row>
    <row r="28" spans="1:17" ht="16.5" customHeight="1" x14ac:dyDescent="0.2">
      <c r="A28" s="308"/>
      <c r="B28" s="309"/>
      <c r="C28" s="59" t="s">
        <v>607</v>
      </c>
      <c r="D28" s="98">
        <f>5+1250</f>
        <v>1255</v>
      </c>
      <c r="E28" s="98">
        <f>5+1300</f>
        <v>1305</v>
      </c>
      <c r="F28" s="98">
        <f>5+1400</f>
        <v>1405</v>
      </c>
      <c r="G28" s="98">
        <f>5+1450</f>
        <v>1455</v>
      </c>
      <c r="H28" s="98">
        <f>5+1530</f>
        <v>1535</v>
      </c>
      <c r="I28" s="98">
        <f>5+1600</f>
        <v>1605</v>
      </c>
      <c r="J28" s="98">
        <f>5+1650</f>
        <v>1655</v>
      </c>
      <c r="K28" s="98">
        <f>5+1700</f>
        <v>1705</v>
      </c>
      <c r="L28" s="98">
        <f>5+1740</f>
        <v>1745</v>
      </c>
      <c r="M28" s="98">
        <f>5+1800</f>
        <v>1805</v>
      </c>
      <c r="N28" s="98">
        <f>5+1800</f>
        <v>1805</v>
      </c>
      <c r="O28" s="98">
        <f>5+1850</f>
        <v>1855</v>
      </c>
      <c r="P28" s="98">
        <f>5+1900</f>
        <v>1905</v>
      </c>
      <c r="Q28" s="98">
        <f>5+2000</f>
        <v>2005</v>
      </c>
    </row>
    <row r="29" spans="1:17" ht="63.75" customHeight="1" x14ac:dyDescent="0.2">
      <c r="A29" s="308"/>
      <c r="B29" s="309"/>
      <c r="C29" s="59" t="s">
        <v>608</v>
      </c>
      <c r="D29" s="99">
        <f>10+670</f>
        <v>680</v>
      </c>
      <c r="E29" s="99">
        <f>10+720</f>
        <v>730</v>
      </c>
      <c r="F29" s="99">
        <f>10+790</f>
        <v>800</v>
      </c>
      <c r="G29" s="99">
        <f>10+820</f>
        <v>830</v>
      </c>
      <c r="H29" s="99">
        <f>10+870</f>
        <v>880</v>
      </c>
      <c r="I29" s="99">
        <f>10+970</f>
        <v>980</v>
      </c>
      <c r="J29" s="99">
        <f>10+1020</f>
        <v>1030</v>
      </c>
      <c r="K29" s="99">
        <f>10+1020</f>
        <v>1030</v>
      </c>
      <c r="L29" s="99">
        <f>10+1170</f>
        <v>1180</v>
      </c>
      <c r="M29" s="99">
        <f>10+1220</f>
        <v>1230</v>
      </c>
      <c r="N29" s="99">
        <f>10+1270</f>
        <v>1280</v>
      </c>
      <c r="O29" s="99">
        <f>10+1320</f>
        <v>1330</v>
      </c>
      <c r="P29" s="99">
        <f>10+1320</f>
        <v>1330</v>
      </c>
      <c r="Q29" s="99">
        <f>10+1370</f>
        <v>1380</v>
      </c>
    </row>
    <row r="30" spans="1:17" ht="32.25" customHeight="1" x14ac:dyDescent="0.2">
      <c r="A30" s="308"/>
      <c r="B30" s="309"/>
      <c r="C30" s="59" t="s">
        <v>609</v>
      </c>
      <c r="D30" s="98">
        <f>90</f>
        <v>90</v>
      </c>
      <c r="E30" s="98">
        <f>95</f>
        <v>95</v>
      </c>
      <c r="F30" s="98">
        <f>100</f>
        <v>100</v>
      </c>
      <c r="G30" s="94">
        <f>107</f>
        <v>107</v>
      </c>
      <c r="H30" s="98">
        <f>110</f>
        <v>110</v>
      </c>
      <c r="I30" s="98">
        <f>110</f>
        <v>110</v>
      </c>
      <c r="J30" s="96">
        <f>120</f>
        <v>120</v>
      </c>
      <c r="K30" s="94">
        <f>130</f>
        <v>130</v>
      </c>
      <c r="L30" s="96">
        <f>140</f>
        <v>140</v>
      </c>
      <c r="M30" s="96">
        <f>150</f>
        <v>150</v>
      </c>
      <c r="N30" s="94">
        <f>165</f>
        <v>165</v>
      </c>
      <c r="O30" s="98">
        <f>170</f>
        <v>170</v>
      </c>
      <c r="P30" s="98">
        <f>177</f>
        <v>177</v>
      </c>
      <c r="Q30" s="98">
        <f>182</f>
        <v>182</v>
      </c>
    </row>
    <row r="31" spans="1:17" ht="15" x14ac:dyDescent="0.2">
      <c r="A31" s="308"/>
      <c r="B31" s="309"/>
      <c r="C31" s="59" t="s">
        <v>610</v>
      </c>
      <c r="D31" s="98">
        <f>30</f>
        <v>30</v>
      </c>
      <c r="E31" s="98">
        <f>35</f>
        <v>35</v>
      </c>
      <c r="F31" s="98">
        <f>40</f>
        <v>40</v>
      </c>
      <c r="G31" s="94">
        <f>45</f>
        <v>45</v>
      </c>
      <c r="H31" s="98">
        <f>50</f>
        <v>50</v>
      </c>
      <c r="I31" s="98">
        <f>55</f>
        <v>55</v>
      </c>
      <c r="J31" s="98">
        <f>60</f>
        <v>60</v>
      </c>
      <c r="K31" s="98">
        <f>70</f>
        <v>70</v>
      </c>
      <c r="L31" s="94">
        <f>80</f>
        <v>80</v>
      </c>
      <c r="M31" s="98">
        <f>85</f>
        <v>85</v>
      </c>
      <c r="N31" s="98">
        <f>90</f>
        <v>90</v>
      </c>
      <c r="O31" s="98">
        <f>105</f>
        <v>105</v>
      </c>
      <c r="P31" s="98">
        <f>110</f>
        <v>110</v>
      </c>
      <c r="Q31" s="98">
        <f>110</f>
        <v>110</v>
      </c>
    </row>
    <row r="32" spans="1:17" ht="16.5" customHeight="1" x14ac:dyDescent="0.2">
      <c r="A32" s="308"/>
      <c r="B32" s="309"/>
      <c r="C32" s="59" t="s">
        <v>611</v>
      </c>
      <c r="D32" s="98">
        <f>43</f>
        <v>43</v>
      </c>
      <c r="E32" s="98">
        <f>45</f>
        <v>45</v>
      </c>
      <c r="F32" s="98">
        <f>50</f>
        <v>50</v>
      </c>
      <c r="G32" s="94">
        <f>53</f>
        <v>53</v>
      </c>
      <c r="H32" s="98">
        <f>57</f>
        <v>57</v>
      </c>
      <c r="I32" s="98">
        <f>60</f>
        <v>60</v>
      </c>
      <c r="J32" s="98">
        <f>62</f>
        <v>62</v>
      </c>
      <c r="K32" s="98">
        <f>67</f>
        <v>67</v>
      </c>
      <c r="L32" s="94">
        <f>70</f>
        <v>70</v>
      </c>
      <c r="M32" s="98">
        <f>75</f>
        <v>75</v>
      </c>
      <c r="N32" s="98">
        <f>80</f>
        <v>80</v>
      </c>
      <c r="O32" s="98">
        <f>83</f>
        <v>83</v>
      </c>
      <c r="P32" s="98">
        <f>85</f>
        <v>85</v>
      </c>
      <c r="Q32" s="98">
        <f>90</f>
        <v>90</v>
      </c>
    </row>
    <row r="33" spans="1:17" ht="32.25" customHeight="1" x14ac:dyDescent="0.2">
      <c r="A33" s="308" t="s">
        <v>612</v>
      </c>
      <c r="B33" s="309" t="s">
        <v>613</v>
      </c>
      <c r="C33" s="59" t="s">
        <v>603</v>
      </c>
      <c r="D33" s="98">
        <f>70</f>
        <v>70</v>
      </c>
      <c r="E33" s="98">
        <f>73</f>
        <v>73</v>
      </c>
      <c r="F33" s="98">
        <f>80</f>
        <v>80</v>
      </c>
      <c r="G33" s="94">
        <f>85</f>
        <v>85</v>
      </c>
      <c r="H33" s="98">
        <f>90</f>
        <v>90</v>
      </c>
      <c r="I33" s="98">
        <f>93</f>
        <v>93</v>
      </c>
      <c r="J33" s="98">
        <f>97</f>
        <v>97</v>
      </c>
      <c r="K33" s="98">
        <f>100</f>
        <v>100</v>
      </c>
      <c r="L33" s="94">
        <f>105</f>
        <v>105</v>
      </c>
      <c r="M33" s="98">
        <f>110</f>
        <v>110</v>
      </c>
      <c r="N33" s="98">
        <f>120</f>
        <v>120</v>
      </c>
      <c r="O33" s="98">
        <f>130</f>
        <v>130</v>
      </c>
      <c r="P33" s="98">
        <f>135</f>
        <v>135</v>
      </c>
      <c r="Q33" s="98">
        <v>140</v>
      </c>
    </row>
    <row r="34" spans="1:17" ht="18.75" customHeight="1" x14ac:dyDescent="0.2">
      <c r="A34" s="308"/>
      <c r="B34" s="309"/>
      <c r="C34" s="59" t="s">
        <v>599</v>
      </c>
      <c r="D34" s="98">
        <f>90</f>
        <v>90</v>
      </c>
      <c r="E34" s="98">
        <f>95</f>
        <v>95</v>
      </c>
      <c r="F34" s="98">
        <f>100</f>
        <v>100</v>
      </c>
      <c r="G34" s="94">
        <f>105</f>
        <v>105</v>
      </c>
      <c r="H34" s="94">
        <f>105</f>
        <v>105</v>
      </c>
      <c r="I34" s="98">
        <f>110</f>
        <v>110</v>
      </c>
      <c r="J34" s="98">
        <f>115</f>
        <v>115</v>
      </c>
      <c r="K34" s="98">
        <f>120</f>
        <v>120</v>
      </c>
      <c r="L34" s="94">
        <f>123</f>
        <v>123</v>
      </c>
      <c r="M34" s="98">
        <f>127</f>
        <v>127</v>
      </c>
      <c r="N34" s="98">
        <f>135</f>
        <v>135</v>
      </c>
      <c r="O34" s="98">
        <f>150</f>
        <v>150</v>
      </c>
      <c r="P34" s="98">
        <f>160</f>
        <v>160</v>
      </c>
      <c r="Q34" s="98">
        <f>170</f>
        <v>170</v>
      </c>
    </row>
    <row r="35" spans="1:17" ht="19.5" customHeight="1" x14ac:dyDescent="0.2">
      <c r="A35" s="308"/>
      <c r="B35" s="309"/>
      <c r="C35" s="59" t="s">
        <v>600</v>
      </c>
      <c r="D35" s="98">
        <f>100</f>
        <v>100</v>
      </c>
      <c r="E35" s="98">
        <f>110</f>
        <v>110</v>
      </c>
      <c r="F35" s="98">
        <f>120</f>
        <v>120</v>
      </c>
      <c r="G35" s="98">
        <f>130</f>
        <v>130</v>
      </c>
      <c r="H35" s="98">
        <f>135</f>
        <v>135</v>
      </c>
      <c r="I35" s="98">
        <v>140</v>
      </c>
      <c r="J35" s="98">
        <f>155</f>
        <v>155</v>
      </c>
      <c r="K35" s="98">
        <f>160</f>
        <v>160</v>
      </c>
      <c r="L35" s="98">
        <f>165</f>
        <v>165</v>
      </c>
      <c r="M35" s="98">
        <f>170</f>
        <v>170</v>
      </c>
      <c r="N35" s="98">
        <f>175</f>
        <v>175</v>
      </c>
      <c r="O35" s="45">
        <f>180</f>
        <v>180</v>
      </c>
      <c r="P35" s="95">
        <f>190</f>
        <v>190</v>
      </c>
      <c r="Q35" s="95">
        <f>200</f>
        <v>200</v>
      </c>
    </row>
    <row r="36" spans="1:17" ht="18.75" customHeight="1" x14ac:dyDescent="0.2">
      <c r="A36" s="308"/>
      <c r="B36" s="309"/>
      <c r="C36" s="59" t="s">
        <v>614</v>
      </c>
      <c r="D36" s="45">
        <f>90</f>
        <v>90</v>
      </c>
      <c r="E36" s="98">
        <f>100</f>
        <v>100</v>
      </c>
      <c r="F36" s="98">
        <f>120</f>
        <v>120</v>
      </c>
      <c r="G36" s="98">
        <f>130</f>
        <v>130</v>
      </c>
      <c r="H36" s="98">
        <v>140</v>
      </c>
      <c r="I36" s="98">
        <f>145</f>
        <v>145</v>
      </c>
      <c r="J36" s="98">
        <f>150</f>
        <v>150</v>
      </c>
      <c r="K36" s="98">
        <f>160</f>
        <v>160</v>
      </c>
      <c r="L36" s="98">
        <f>170</f>
        <v>170</v>
      </c>
      <c r="M36" s="45">
        <f>180</f>
        <v>180</v>
      </c>
      <c r="N36" s="95">
        <f>190</f>
        <v>190</v>
      </c>
      <c r="O36" s="95">
        <f>200</f>
        <v>200</v>
      </c>
      <c r="P36" s="95">
        <f>210</f>
        <v>210</v>
      </c>
      <c r="Q36" s="95">
        <f>220</f>
        <v>220</v>
      </c>
    </row>
    <row r="37" spans="1:17" ht="48.75" customHeight="1" x14ac:dyDescent="0.2">
      <c r="A37" s="308"/>
      <c r="B37" s="309"/>
      <c r="C37" s="59" t="s">
        <v>601</v>
      </c>
      <c r="D37" s="98">
        <f>55</f>
        <v>55</v>
      </c>
      <c r="E37" s="98">
        <f>60</f>
        <v>60</v>
      </c>
      <c r="F37" s="98">
        <f>70</f>
        <v>70</v>
      </c>
      <c r="G37" s="94">
        <f>80</f>
        <v>80</v>
      </c>
      <c r="H37" s="98">
        <f>90</f>
        <v>90</v>
      </c>
      <c r="I37" s="98">
        <f>95</f>
        <v>95</v>
      </c>
      <c r="J37" s="98">
        <f>110</f>
        <v>110</v>
      </c>
      <c r="K37" s="98">
        <f>120</f>
        <v>120</v>
      </c>
      <c r="L37" s="98">
        <f>130</f>
        <v>130</v>
      </c>
      <c r="M37" s="98">
        <v>140</v>
      </c>
      <c r="N37" s="98">
        <f>150</f>
        <v>150</v>
      </c>
      <c r="O37" s="98">
        <f>155</f>
        <v>155</v>
      </c>
      <c r="P37" s="98">
        <f>170</f>
        <v>170</v>
      </c>
      <c r="Q37" s="45">
        <f>180</f>
        <v>180</v>
      </c>
    </row>
    <row r="38" spans="1:17" ht="16.5" customHeight="1" x14ac:dyDescent="0.2">
      <c r="A38" s="308"/>
      <c r="B38" s="309"/>
      <c r="C38" s="59" t="s">
        <v>602</v>
      </c>
      <c r="D38" s="98">
        <f>100</f>
        <v>100</v>
      </c>
      <c r="E38" s="98">
        <f>110</f>
        <v>110</v>
      </c>
      <c r="F38" s="98">
        <f>120</f>
        <v>120</v>
      </c>
      <c r="G38" s="98">
        <f>130</f>
        <v>130</v>
      </c>
      <c r="H38" s="98">
        <v>140</v>
      </c>
      <c r="I38" s="98">
        <f>150</f>
        <v>150</v>
      </c>
      <c r="J38" s="98">
        <f>160</f>
        <v>160</v>
      </c>
      <c r="K38" s="98">
        <f>165</f>
        <v>165</v>
      </c>
      <c r="L38" s="98">
        <f>170</f>
        <v>170</v>
      </c>
      <c r="M38" s="45">
        <f>180</f>
        <v>180</v>
      </c>
      <c r="N38" s="98">
        <f>185</f>
        <v>185</v>
      </c>
      <c r="O38" s="95">
        <f>190</f>
        <v>190</v>
      </c>
      <c r="P38" s="95">
        <f>200</f>
        <v>200</v>
      </c>
      <c r="Q38" s="95">
        <f>210</f>
        <v>210</v>
      </c>
    </row>
    <row r="39" spans="1:17" ht="23.25" customHeight="1" x14ac:dyDescent="0.2">
      <c r="A39" s="308" t="s">
        <v>615</v>
      </c>
      <c r="B39" s="309" t="s">
        <v>616</v>
      </c>
      <c r="C39" s="59" t="s">
        <v>617</v>
      </c>
      <c r="D39" s="98">
        <f>55</f>
        <v>55</v>
      </c>
      <c r="E39" s="98">
        <f>60</f>
        <v>60</v>
      </c>
      <c r="F39" s="45">
        <f>63</f>
        <v>63</v>
      </c>
      <c r="G39" s="45">
        <f>65</f>
        <v>65</v>
      </c>
      <c r="H39" s="45">
        <f>70</f>
        <v>70</v>
      </c>
      <c r="I39" s="45">
        <f>75</f>
        <v>75</v>
      </c>
      <c r="J39" s="45">
        <f>80</f>
        <v>80</v>
      </c>
      <c r="K39" s="45">
        <f>80</f>
        <v>80</v>
      </c>
      <c r="L39" s="45">
        <f>85</f>
        <v>85</v>
      </c>
      <c r="M39" s="45">
        <f>90</f>
        <v>90</v>
      </c>
      <c r="N39" s="45">
        <f>96</f>
        <v>96</v>
      </c>
      <c r="O39" s="45">
        <f>99</f>
        <v>99</v>
      </c>
      <c r="P39" s="95">
        <f>105</f>
        <v>105</v>
      </c>
      <c r="Q39" s="95">
        <f>105</f>
        <v>105</v>
      </c>
    </row>
    <row r="40" spans="1:17" ht="36" customHeight="1" x14ac:dyDescent="0.2">
      <c r="A40" s="308"/>
      <c r="B40" s="309"/>
      <c r="C40" s="59" t="s">
        <v>618</v>
      </c>
      <c r="D40" s="45">
        <f>50</f>
        <v>50</v>
      </c>
      <c r="E40" s="98">
        <f>55</f>
        <v>55</v>
      </c>
      <c r="F40" s="98">
        <f>58</f>
        <v>58</v>
      </c>
      <c r="G40" s="45">
        <f>63</f>
        <v>63</v>
      </c>
      <c r="H40" s="45">
        <f>65</f>
        <v>65</v>
      </c>
      <c r="I40" s="45">
        <f>70</f>
        <v>70</v>
      </c>
      <c r="J40" s="45">
        <f>75</f>
        <v>75</v>
      </c>
      <c r="K40" s="45">
        <f>70</f>
        <v>70</v>
      </c>
      <c r="L40" s="45">
        <f>75</f>
        <v>75</v>
      </c>
      <c r="M40" s="45">
        <f>80</f>
        <v>80</v>
      </c>
      <c r="N40" s="45">
        <f>85</f>
        <v>85</v>
      </c>
      <c r="O40" s="45">
        <f>90</f>
        <v>90</v>
      </c>
      <c r="P40" s="98">
        <f>100</f>
        <v>100</v>
      </c>
      <c r="Q40" s="98">
        <f>100</f>
        <v>100</v>
      </c>
    </row>
    <row r="41" spans="1:17" ht="32.25" customHeight="1" x14ac:dyDescent="0.2">
      <c r="A41" s="308"/>
      <c r="B41" s="309"/>
      <c r="C41" s="59" t="s">
        <v>619</v>
      </c>
      <c r="D41" s="45">
        <f>40</f>
        <v>40</v>
      </c>
      <c r="E41" s="45">
        <f>50</f>
        <v>50</v>
      </c>
      <c r="F41" s="98">
        <f>55</f>
        <v>55</v>
      </c>
      <c r="G41" s="45">
        <f>65</f>
        <v>65</v>
      </c>
      <c r="H41" s="45">
        <f>70</f>
        <v>70</v>
      </c>
      <c r="I41" s="45">
        <f>70</f>
        <v>70</v>
      </c>
      <c r="J41" s="45">
        <f>80</f>
        <v>80</v>
      </c>
      <c r="K41" s="45">
        <f>85</f>
        <v>85</v>
      </c>
      <c r="L41" s="45">
        <f>85</f>
        <v>85</v>
      </c>
      <c r="M41" s="45">
        <f>90</f>
        <v>90</v>
      </c>
      <c r="N41" s="45">
        <f>94</f>
        <v>94</v>
      </c>
      <c r="O41" s="45">
        <f>98</f>
        <v>98</v>
      </c>
      <c r="P41" s="98">
        <f>100</f>
        <v>100</v>
      </c>
      <c r="Q41" s="98">
        <f>100</f>
        <v>100</v>
      </c>
    </row>
    <row r="42" spans="1:17" ht="22.5" customHeight="1" x14ac:dyDescent="0.2">
      <c r="A42" s="308"/>
      <c r="B42" s="309"/>
      <c r="C42" s="59" t="s">
        <v>620</v>
      </c>
      <c r="D42" s="75"/>
      <c r="E42" s="75"/>
      <c r="F42" s="75"/>
      <c r="G42" s="100"/>
      <c r="H42" s="75"/>
      <c r="I42" s="75"/>
      <c r="J42" s="75"/>
      <c r="K42" s="75"/>
      <c r="L42" s="75"/>
      <c r="M42" s="75"/>
      <c r="N42" s="75"/>
      <c r="O42" s="75"/>
      <c r="P42" s="92"/>
      <c r="Q42" s="92"/>
    </row>
    <row r="43" spans="1:17" ht="18.75" customHeight="1" x14ac:dyDescent="0.2">
      <c r="A43" s="308" t="s">
        <v>621</v>
      </c>
      <c r="B43" s="309" t="s">
        <v>622</v>
      </c>
      <c r="C43" s="59" t="s">
        <v>623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95"/>
      <c r="Q43" s="95"/>
    </row>
    <row r="44" spans="1:17" ht="21" customHeight="1" x14ac:dyDescent="0.2">
      <c r="A44" s="308"/>
      <c r="B44" s="309"/>
      <c r="C44" s="59" t="s">
        <v>624</v>
      </c>
      <c r="D44" s="45">
        <f>70</f>
        <v>70</v>
      </c>
      <c r="E44" s="45">
        <f>80</f>
        <v>80</v>
      </c>
      <c r="F44" s="45">
        <f>95</f>
        <v>95</v>
      </c>
      <c r="G44" s="98">
        <f>100</f>
        <v>100</v>
      </c>
      <c r="H44" s="98">
        <f>110</f>
        <v>110</v>
      </c>
      <c r="I44" s="45">
        <f>117</f>
        <v>117</v>
      </c>
      <c r="J44" s="45">
        <f>125</f>
        <v>125</v>
      </c>
      <c r="K44" s="45">
        <f>140</f>
        <v>140</v>
      </c>
      <c r="L44" s="45">
        <f>150</f>
        <v>150</v>
      </c>
      <c r="M44" s="45">
        <f>155</f>
        <v>155</v>
      </c>
      <c r="N44" s="45">
        <f>167</f>
        <v>167</v>
      </c>
      <c r="O44" s="45">
        <f>180</f>
        <v>180</v>
      </c>
      <c r="P44" s="95">
        <f>200</f>
        <v>200</v>
      </c>
      <c r="Q44" s="95">
        <f>220</f>
        <v>220</v>
      </c>
    </row>
    <row r="45" spans="1:17" ht="20.25" customHeight="1" x14ac:dyDescent="0.2">
      <c r="A45" s="308"/>
      <c r="B45" s="309"/>
      <c r="C45" s="59" t="s">
        <v>594</v>
      </c>
      <c r="D45" s="45">
        <f>70</f>
        <v>70</v>
      </c>
      <c r="E45" s="45">
        <f>75</f>
        <v>75</v>
      </c>
      <c r="F45" s="45">
        <f>80</f>
        <v>80</v>
      </c>
      <c r="G45" s="45">
        <f>90</f>
        <v>90</v>
      </c>
      <c r="H45" s="98">
        <f>100</f>
        <v>100</v>
      </c>
      <c r="I45" s="95">
        <f>105</f>
        <v>105</v>
      </c>
      <c r="J45" s="98">
        <f>110</f>
        <v>110</v>
      </c>
      <c r="K45" s="98">
        <f>120</f>
        <v>120</v>
      </c>
      <c r="L45" s="98">
        <f>130</f>
        <v>130</v>
      </c>
      <c r="M45" s="98">
        <f>150</f>
        <v>150</v>
      </c>
      <c r="N45" s="98">
        <f>170</f>
        <v>170</v>
      </c>
      <c r="O45" s="45">
        <f>175</f>
        <v>175</v>
      </c>
      <c r="P45" s="95">
        <f>190</f>
        <v>190</v>
      </c>
      <c r="Q45" s="95">
        <f>210</f>
        <v>210</v>
      </c>
    </row>
    <row r="46" spans="1:17" ht="49.5" customHeight="1" x14ac:dyDescent="0.2">
      <c r="A46" s="308"/>
      <c r="B46" s="309"/>
      <c r="C46" s="59" t="s">
        <v>625</v>
      </c>
      <c r="D46" s="45">
        <f>65</f>
        <v>65</v>
      </c>
      <c r="E46" s="45">
        <f>70</f>
        <v>70</v>
      </c>
      <c r="F46" s="45">
        <f>70</f>
        <v>70</v>
      </c>
      <c r="G46" s="45">
        <f>78</f>
        <v>78</v>
      </c>
      <c r="H46" s="45">
        <f>85</f>
        <v>85</v>
      </c>
      <c r="I46" s="45">
        <f>95</f>
        <v>95</v>
      </c>
      <c r="J46" s="45">
        <f>107</f>
        <v>107</v>
      </c>
      <c r="K46" s="45">
        <f>115</f>
        <v>115</v>
      </c>
      <c r="L46" s="45">
        <f>125</f>
        <v>125</v>
      </c>
      <c r="M46" s="45">
        <f>135</f>
        <v>135</v>
      </c>
      <c r="N46" s="45">
        <f>150</f>
        <v>150</v>
      </c>
      <c r="O46" s="45">
        <f>170</f>
        <v>170</v>
      </c>
      <c r="P46" s="95">
        <f>180</f>
        <v>180</v>
      </c>
      <c r="Q46" s="95">
        <f>200</f>
        <v>200</v>
      </c>
    </row>
    <row r="47" spans="1:17" ht="32.25" customHeight="1" x14ac:dyDescent="0.2">
      <c r="A47" s="308" t="s">
        <v>626</v>
      </c>
      <c r="B47" s="310" t="s">
        <v>627</v>
      </c>
      <c r="C47" s="16" t="s">
        <v>628</v>
      </c>
      <c r="D47" s="75">
        <f>45</f>
        <v>45</v>
      </c>
      <c r="E47" s="75">
        <f>50</f>
        <v>50</v>
      </c>
      <c r="F47" s="75">
        <v>60</v>
      </c>
      <c r="G47" s="75">
        <v>60</v>
      </c>
      <c r="H47" s="45">
        <f>65</f>
        <v>65</v>
      </c>
      <c r="I47" s="75">
        <f>68</f>
        <v>68</v>
      </c>
      <c r="J47" s="75">
        <f>73</f>
        <v>73</v>
      </c>
      <c r="K47" s="75">
        <f>78</f>
        <v>78</v>
      </c>
      <c r="L47" s="75">
        <f>82</f>
        <v>82</v>
      </c>
      <c r="M47" s="75">
        <f>87</f>
        <v>87</v>
      </c>
      <c r="N47" s="75">
        <f>92</f>
        <v>92</v>
      </c>
      <c r="O47" s="75">
        <f>96</f>
        <v>96</v>
      </c>
      <c r="P47" s="92">
        <f>100</f>
        <v>100</v>
      </c>
      <c r="Q47" s="92">
        <f>110</f>
        <v>110</v>
      </c>
    </row>
    <row r="48" spans="1:17" ht="49.5" customHeight="1" x14ac:dyDescent="0.2">
      <c r="A48" s="308"/>
      <c r="B48" s="310"/>
      <c r="C48" s="16" t="s">
        <v>629</v>
      </c>
      <c r="D48" s="75">
        <f>30</f>
        <v>30</v>
      </c>
      <c r="E48" s="75">
        <f>34</f>
        <v>34</v>
      </c>
      <c r="F48" s="75">
        <f>37</f>
        <v>37</v>
      </c>
      <c r="G48" s="100">
        <f>40</f>
        <v>40</v>
      </c>
      <c r="H48" s="75">
        <f>45</f>
        <v>45</v>
      </c>
      <c r="I48" s="75">
        <f>49</f>
        <v>49</v>
      </c>
      <c r="J48" s="75">
        <f>55</f>
        <v>55</v>
      </c>
      <c r="K48" s="75">
        <f>60</f>
        <v>60</v>
      </c>
      <c r="L48" s="75">
        <f>63</f>
        <v>63</v>
      </c>
      <c r="M48" s="75">
        <f>67</f>
        <v>67</v>
      </c>
      <c r="N48" s="75">
        <f>71</f>
        <v>71</v>
      </c>
      <c r="O48" s="75">
        <f>75</f>
        <v>75</v>
      </c>
      <c r="P48" s="92">
        <f>78</f>
        <v>78</v>
      </c>
      <c r="Q48" s="92">
        <f>82</f>
        <v>82</v>
      </c>
    </row>
    <row r="49" spans="1:17" ht="50.25" customHeight="1" x14ac:dyDescent="0.2">
      <c r="A49" s="308"/>
      <c r="B49" s="310"/>
      <c r="C49" s="16" t="s">
        <v>630</v>
      </c>
      <c r="D49" s="75">
        <f>44</f>
        <v>44</v>
      </c>
      <c r="E49" s="75">
        <f>50</f>
        <v>50</v>
      </c>
      <c r="F49" s="75">
        <f>53</f>
        <v>53</v>
      </c>
      <c r="G49" s="100">
        <f>57</f>
        <v>57</v>
      </c>
      <c r="H49" s="75">
        <f>60</f>
        <v>60</v>
      </c>
      <c r="I49" s="75">
        <f>65</f>
        <v>65</v>
      </c>
      <c r="J49" s="75">
        <f>68</f>
        <v>68</v>
      </c>
      <c r="K49" s="75">
        <f>72</f>
        <v>72</v>
      </c>
      <c r="L49" s="75">
        <f>75</f>
        <v>75</v>
      </c>
      <c r="M49" s="75">
        <f>79</f>
        <v>79</v>
      </c>
      <c r="N49" s="75">
        <f>84</f>
        <v>84</v>
      </c>
      <c r="O49" s="75">
        <f>88</f>
        <v>88</v>
      </c>
      <c r="P49" s="92">
        <f>92</f>
        <v>92</v>
      </c>
      <c r="Q49" s="92">
        <f>96</f>
        <v>96</v>
      </c>
    </row>
    <row r="50" spans="1:17" ht="33" customHeight="1" x14ac:dyDescent="0.2">
      <c r="A50" s="308"/>
      <c r="B50" s="310"/>
      <c r="C50" s="16" t="s">
        <v>631</v>
      </c>
      <c r="D50" s="75">
        <f>44</f>
        <v>44</v>
      </c>
      <c r="E50" s="75">
        <f>50</f>
        <v>50</v>
      </c>
      <c r="F50" s="75">
        <f>55</f>
        <v>55</v>
      </c>
      <c r="G50" s="75">
        <v>60</v>
      </c>
      <c r="H50" s="75">
        <v>60</v>
      </c>
      <c r="I50" s="75">
        <f>64</f>
        <v>64</v>
      </c>
      <c r="J50" s="75">
        <f>70</f>
        <v>70</v>
      </c>
      <c r="K50" s="75">
        <f>75</f>
        <v>75</v>
      </c>
      <c r="L50" s="75">
        <f>78</f>
        <v>78</v>
      </c>
      <c r="M50" s="75">
        <f>82</f>
        <v>82</v>
      </c>
      <c r="N50" s="75">
        <f>85</f>
        <v>85</v>
      </c>
      <c r="O50" s="75">
        <f>90</f>
        <v>90</v>
      </c>
      <c r="P50" s="92">
        <f>94</f>
        <v>94</v>
      </c>
      <c r="Q50" s="92">
        <f>100</f>
        <v>100</v>
      </c>
    </row>
    <row r="51" spans="1:17" ht="49.5" customHeight="1" x14ac:dyDescent="0.2">
      <c r="A51" s="308" t="s">
        <v>632</v>
      </c>
      <c r="B51" s="309" t="s">
        <v>633</v>
      </c>
      <c r="C51" s="9" t="s">
        <v>634</v>
      </c>
      <c r="D51" s="20">
        <f>40</f>
        <v>40</v>
      </c>
      <c r="E51" s="75">
        <f>50</f>
        <v>50</v>
      </c>
      <c r="F51" s="75">
        <v>60</v>
      </c>
      <c r="G51" s="75">
        <f>70</f>
        <v>70</v>
      </c>
      <c r="H51" s="20">
        <f>80</f>
        <v>80</v>
      </c>
      <c r="I51" s="20">
        <f>90</f>
        <v>90</v>
      </c>
      <c r="J51" s="20">
        <f>95</f>
        <v>95</v>
      </c>
      <c r="K51" s="20">
        <f>100</f>
        <v>100</v>
      </c>
      <c r="L51" s="20">
        <f>100</f>
        <v>100</v>
      </c>
      <c r="M51" s="20">
        <f>110</f>
        <v>110</v>
      </c>
      <c r="N51" s="20">
        <f>120</f>
        <v>120</v>
      </c>
      <c r="O51" s="20">
        <f>135</f>
        <v>135</v>
      </c>
      <c r="P51" s="101">
        <f>140</f>
        <v>140</v>
      </c>
      <c r="Q51" s="101">
        <f>150</f>
        <v>150</v>
      </c>
    </row>
    <row r="52" spans="1:17" ht="18.75" customHeight="1" x14ac:dyDescent="0.2">
      <c r="A52" s="308"/>
      <c r="B52" s="309"/>
      <c r="C52" s="9" t="s">
        <v>624</v>
      </c>
      <c r="D52" s="75">
        <f>45</f>
        <v>45</v>
      </c>
      <c r="E52" s="75">
        <f>50</f>
        <v>50</v>
      </c>
      <c r="F52" s="75">
        <f>55</f>
        <v>55</v>
      </c>
      <c r="G52" s="75">
        <v>60</v>
      </c>
      <c r="H52" s="75">
        <f>65</f>
        <v>65</v>
      </c>
      <c r="I52" s="75">
        <f>68</f>
        <v>68</v>
      </c>
      <c r="J52" s="75">
        <f>72</f>
        <v>72</v>
      </c>
      <c r="K52" s="75">
        <f>75</f>
        <v>75</v>
      </c>
      <c r="L52" s="20">
        <f>80</f>
        <v>80</v>
      </c>
      <c r="M52" s="75">
        <f>85</f>
        <v>85</v>
      </c>
      <c r="N52" s="75">
        <f>90</f>
        <v>90</v>
      </c>
      <c r="O52" s="20">
        <f>95</f>
        <v>95</v>
      </c>
      <c r="P52" s="101">
        <f>95</f>
        <v>95</v>
      </c>
      <c r="Q52" s="92">
        <f>100</f>
        <v>100</v>
      </c>
    </row>
    <row r="53" spans="1:17" ht="78" customHeight="1" x14ac:dyDescent="0.2">
      <c r="A53" s="308"/>
      <c r="B53" s="309"/>
      <c r="C53" s="59" t="s">
        <v>635</v>
      </c>
      <c r="D53" s="75">
        <f>44</f>
        <v>44</v>
      </c>
      <c r="E53" s="20">
        <f>48</f>
        <v>48</v>
      </c>
      <c r="F53" s="20">
        <f>52</f>
        <v>52</v>
      </c>
      <c r="G53" s="45">
        <f>56</f>
        <v>56</v>
      </c>
      <c r="H53" s="20">
        <f>60</f>
        <v>60</v>
      </c>
      <c r="I53" s="20">
        <f>65</f>
        <v>65</v>
      </c>
      <c r="J53" s="20">
        <f>70</f>
        <v>70</v>
      </c>
      <c r="K53" s="20">
        <f>73</f>
        <v>73</v>
      </c>
      <c r="L53" s="20">
        <f>80</f>
        <v>80</v>
      </c>
      <c r="M53" s="20">
        <f>85</f>
        <v>85</v>
      </c>
      <c r="N53" s="20">
        <f>90</f>
        <v>90</v>
      </c>
      <c r="O53" s="20">
        <f>96</f>
        <v>96</v>
      </c>
      <c r="P53" s="101">
        <f>96</f>
        <v>96</v>
      </c>
      <c r="Q53" s="92">
        <f>100</f>
        <v>100</v>
      </c>
    </row>
    <row r="54" spans="1:17" ht="50.25" customHeight="1" x14ac:dyDescent="0.2">
      <c r="A54" s="308" t="s">
        <v>636</v>
      </c>
      <c r="B54" s="309" t="s">
        <v>637</v>
      </c>
      <c r="C54" s="9" t="s">
        <v>638</v>
      </c>
      <c r="D54" s="20">
        <f>30</f>
        <v>30</v>
      </c>
      <c r="E54" s="20">
        <f>33</f>
        <v>33</v>
      </c>
      <c r="F54" s="20">
        <f>36</f>
        <v>36</v>
      </c>
      <c r="G54" s="45">
        <f>40</f>
        <v>40</v>
      </c>
      <c r="H54" s="20">
        <f>45</f>
        <v>45</v>
      </c>
      <c r="I54" s="20">
        <f>48</f>
        <v>48</v>
      </c>
      <c r="J54" s="20">
        <f>52</f>
        <v>52</v>
      </c>
      <c r="K54" s="20">
        <f>55</f>
        <v>55</v>
      </c>
      <c r="L54" s="20">
        <f>58</f>
        <v>58</v>
      </c>
      <c r="M54" s="20">
        <f>62</f>
        <v>62</v>
      </c>
      <c r="N54" s="20">
        <f>66</f>
        <v>66</v>
      </c>
      <c r="O54" s="20">
        <f>70</f>
        <v>70</v>
      </c>
      <c r="P54" s="97">
        <f>75</f>
        <v>75</v>
      </c>
      <c r="Q54" s="97">
        <f>80</f>
        <v>80</v>
      </c>
    </row>
    <row r="55" spans="1:17" ht="96.75" customHeight="1" x14ac:dyDescent="0.2">
      <c r="A55" s="308"/>
      <c r="B55" s="309"/>
      <c r="C55" s="9" t="s">
        <v>639</v>
      </c>
      <c r="D55" s="20">
        <f>30</f>
        <v>30</v>
      </c>
      <c r="E55" s="20">
        <f>33</f>
        <v>33</v>
      </c>
      <c r="F55" s="20">
        <f>35</f>
        <v>35</v>
      </c>
      <c r="G55" s="45">
        <f>40</f>
        <v>40</v>
      </c>
      <c r="H55" s="20">
        <f>45</f>
        <v>45</v>
      </c>
      <c r="I55" s="20">
        <f>50</f>
        <v>50</v>
      </c>
      <c r="J55" s="20">
        <f>52</f>
        <v>52</v>
      </c>
      <c r="K55" s="20">
        <f>55</f>
        <v>55</v>
      </c>
      <c r="L55" s="20">
        <f>58</f>
        <v>58</v>
      </c>
      <c r="M55" s="20">
        <f>62</f>
        <v>62</v>
      </c>
      <c r="N55" s="20">
        <f>66</f>
        <v>66</v>
      </c>
      <c r="O55" s="20">
        <f>70</f>
        <v>70</v>
      </c>
      <c r="P55" s="97">
        <f>75</f>
        <v>75</v>
      </c>
      <c r="Q55" s="97">
        <f>80</f>
        <v>80</v>
      </c>
    </row>
    <row r="56" spans="1:17" ht="60" customHeight="1" x14ac:dyDescent="0.2">
      <c r="A56" s="308"/>
      <c r="B56" s="309"/>
      <c r="C56" s="9" t="s">
        <v>640</v>
      </c>
      <c r="D56" s="20">
        <f>32</f>
        <v>32</v>
      </c>
      <c r="E56" s="20">
        <f>35</f>
        <v>35</v>
      </c>
      <c r="F56" s="45">
        <f>40</f>
        <v>40</v>
      </c>
      <c r="G56" s="20">
        <f>45</f>
        <v>45</v>
      </c>
      <c r="H56" s="20">
        <f>45</f>
        <v>45</v>
      </c>
      <c r="I56" s="20">
        <f>50</f>
        <v>50</v>
      </c>
      <c r="J56" s="20">
        <f>52</f>
        <v>52</v>
      </c>
      <c r="K56" s="20">
        <f>55</f>
        <v>55</v>
      </c>
      <c r="L56" s="20">
        <f>59</f>
        <v>59</v>
      </c>
      <c r="M56" s="20">
        <f>63</f>
        <v>63</v>
      </c>
      <c r="N56" s="20">
        <f>67</f>
        <v>67</v>
      </c>
      <c r="O56" s="20">
        <f>70</f>
        <v>70</v>
      </c>
      <c r="P56" s="97">
        <f>75</f>
        <v>75</v>
      </c>
      <c r="Q56" s="97">
        <f>80</f>
        <v>80</v>
      </c>
    </row>
    <row r="57" spans="1:17" ht="33.75" customHeight="1" x14ac:dyDescent="0.2">
      <c r="A57" s="102" t="s">
        <v>641</v>
      </c>
      <c r="B57" s="59" t="s">
        <v>642</v>
      </c>
      <c r="C57" s="59" t="s">
        <v>642</v>
      </c>
      <c r="D57" s="20">
        <f>1</f>
        <v>1</v>
      </c>
      <c r="E57" s="20">
        <f>1</f>
        <v>1</v>
      </c>
      <c r="F57" s="20">
        <f>1</f>
        <v>1</v>
      </c>
      <c r="G57" s="20">
        <f>1</f>
        <v>1</v>
      </c>
      <c r="H57" s="20">
        <f>1</f>
        <v>1</v>
      </c>
      <c r="I57" s="20">
        <f>1</f>
        <v>1</v>
      </c>
      <c r="J57" s="20">
        <f>1</f>
        <v>1</v>
      </c>
      <c r="K57" s="20">
        <f>1</f>
        <v>1</v>
      </c>
      <c r="L57" s="20">
        <f>1</f>
        <v>1</v>
      </c>
      <c r="M57" s="20">
        <f>1</f>
        <v>1</v>
      </c>
      <c r="N57" s="20">
        <f>1</f>
        <v>1</v>
      </c>
      <c r="O57" s="20">
        <f>1</f>
        <v>1</v>
      </c>
      <c r="P57" s="20">
        <f>1</f>
        <v>1</v>
      </c>
      <c r="Q57" s="20">
        <f>1</f>
        <v>1</v>
      </c>
    </row>
    <row r="58" spans="1:17" ht="63.75" customHeight="1" x14ac:dyDescent="0.2">
      <c r="A58" s="308" t="s">
        <v>643</v>
      </c>
      <c r="B58" s="309" t="s">
        <v>644</v>
      </c>
      <c r="C58" s="14" t="s">
        <v>645</v>
      </c>
      <c r="D58" s="45">
        <f>10+72+1</f>
        <v>83</v>
      </c>
      <c r="E58" s="45">
        <f>10+78+1</f>
        <v>89</v>
      </c>
      <c r="F58" s="45">
        <f>10+83+1</f>
        <v>94</v>
      </c>
      <c r="G58" s="45">
        <f>10+87+1</f>
        <v>98</v>
      </c>
      <c r="H58" s="45">
        <f>10+90+1</f>
        <v>101</v>
      </c>
      <c r="I58" s="45">
        <f>10+95+1</f>
        <v>106</v>
      </c>
      <c r="J58" s="45">
        <f>10+98+1</f>
        <v>109</v>
      </c>
      <c r="K58" s="45">
        <f>10+103+1</f>
        <v>114</v>
      </c>
      <c r="L58" s="45">
        <f>10+105+1</f>
        <v>116</v>
      </c>
      <c r="M58" s="45">
        <f>10+110+1</f>
        <v>121</v>
      </c>
      <c r="N58" s="45">
        <f>10+113+1</f>
        <v>124</v>
      </c>
      <c r="O58" s="45">
        <f>10+117+1</f>
        <v>128</v>
      </c>
      <c r="P58" s="45">
        <f>10+120+1</f>
        <v>131</v>
      </c>
      <c r="Q58" s="45">
        <f>10+125+1</f>
        <v>136</v>
      </c>
    </row>
    <row r="59" spans="1:17" ht="33" customHeight="1" x14ac:dyDescent="0.2">
      <c r="A59" s="308"/>
      <c r="B59" s="309"/>
      <c r="C59" s="59" t="s">
        <v>646</v>
      </c>
      <c r="D59" s="45">
        <f>5+53</f>
        <v>58</v>
      </c>
      <c r="E59" s="45">
        <f>5+55</f>
        <v>60</v>
      </c>
      <c r="F59" s="45">
        <f>5+60</f>
        <v>65</v>
      </c>
      <c r="G59" s="45">
        <f>5+65</f>
        <v>70</v>
      </c>
      <c r="H59" s="45">
        <f>5+68</f>
        <v>73</v>
      </c>
      <c r="I59" s="45">
        <f>5+73</f>
        <v>78</v>
      </c>
      <c r="J59" s="45">
        <f>5+77</f>
        <v>82</v>
      </c>
      <c r="K59" s="45">
        <f>5+80</f>
        <v>85</v>
      </c>
      <c r="L59" s="45">
        <f>5+83</f>
        <v>88</v>
      </c>
      <c r="M59" s="45">
        <f>5+88</f>
        <v>93</v>
      </c>
      <c r="N59" s="45">
        <f>5+92</f>
        <v>97</v>
      </c>
      <c r="O59" s="45">
        <f>5+95</f>
        <v>100</v>
      </c>
      <c r="P59" s="45">
        <f>5+98</f>
        <v>103</v>
      </c>
      <c r="Q59" s="45">
        <f>5+102</f>
        <v>107</v>
      </c>
    </row>
    <row r="60" spans="1:17" ht="45.75" customHeight="1" x14ac:dyDescent="0.2">
      <c r="A60" s="308"/>
      <c r="B60" s="309"/>
      <c r="C60" s="59" t="s">
        <v>625</v>
      </c>
      <c r="D60" s="45">
        <f>5+53</f>
        <v>58</v>
      </c>
      <c r="E60" s="45">
        <f>5+55</f>
        <v>60</v>
      </c>
      <c r="F60" s="45">
        <f>5+60</f>
        <v>65</v>
      </c>
      <c r="G60" s="45">
        <f>5+65</f>
        <v>70</v>
      </c>
      <c r="H60" s="45">
        <f>5+68</f>
        <v>73</v>
      </c>
      <c r="I60" s="45">
        <f>5+73</f>
        <v>78</v>
      </c>
      <c r="J60" s="45">
        <f>5+77</f>
        <v>82</v>
      </c>
      <c r="K60" s="45">
        <f>5+80</f>
        <v>85</v>
      </c>
      <c r="L60" s="45">
        <f>5+83</f>
        <v>88</v>
      </c>
      <c r="M60" s="45">
        <f>5+88</f>
        <v>93</v>
      </c>
      <c r="N60" s="45">
        <f>5+92</f>
        <v>97</v>
      </c>
      <c r="O60" s="45">
        <f>5+95</f>
        <v>100</v>
      </c>
      <c r="P60" s="45">
        <f>5+98</f>
        <v>103</v>
      </c>
      <c r="Q60" s="45">
        <f>5+105</f>
        <v>110</v>
      </c>
    </row>
    <row r="61" spans="1:17" ht="48" customHeight="1" x14ac:dyDescent="0.2">
      <c r="A61" s="103" t="s">
        <v>647</v>
      </c>
      <c r="B61" s="59" t="s">
        <v>648</v>
      </c>
      <c r="C61" s="59" t="s">
        <v>648</v>
      </c>
      <c r="D61" s="45">
        <f>70+2</f>
        <v>72</v>
      </c>
      <c r="E61" s="45">
        <f>77+2</f>
        <v>79</v>
      </c>
      <c r="F61" s="45">
        <f>83+2</f>
        <v>85</v>
      </c>
      <c r="G61" s="45">
        <f>85+2</f>
        <v>87</v>
      </c>
      <c r="H61" s="45">
        <f>85+2</f>
        <v>87</v>
      </c>
      <c r="I61" s="45">
        <f>90+2</f>
        <v>92</v>
      </c>
      <c r="J61" s="45">
        <f>100+2</f>
        <v>102</v>
      </c>
      <c r="K61" s="45">
        <f>120+2</f>
        <v>122</v>
      </c>
      <c r="L61" s="45">
        <f>125+2</f>
        <v>127</v>
      </c>
      <c r="M61" s="45">
        <f>130+2</f>
        <v>132</v>
      </c>
      <c r="N61" s="45">
        <f>140+2</f>
        <v>142</v>
      </c>
      <c r="O61" s="45">
        <f>145+2</f>
        <v>147</v>
      </c>
      <c r="P61" s="45">
        <f>150+2</f>
        <v>152</v>
      </c>
      <c r="Q61" s="95">
        <f>150+2</f>
        <v>152</v>
      </c>
    </row>
    <row r="62" spans="1:17" ht="45.75" customHeight="1" x14ac:dyDescent="0.2">
      <c r="A62" s="103" t="s">
        <v>649</v>
      </c>
      <c r="B62" s="59" t="s">
        <v>650</v>
      </c>
      <c r="C62" s="59" t="s">
        <v>650</v>
      </c>
      <c r="D62" s="45">
        <f>45</f>
        <v>45</v>
      </c>
      <c r="E62" s="45">
        <f>50</f>
        <v>50</v>
      </c>
      <c r="F62" s="45">
        <f>55</f>
        <v>55</v>
      </c>
      <c r="G62" s="45">
        <f>60</f>
        <v>60</v>
      </c>
      <c r="H62" s="45">
        <f>65</f>
        <v>65</v>
      </c>
      <c r="I62" s="45">
        <f>70</f>
        <v>70</v>
      </c>
      <c r="J62" s="45">
        <f>75</f>
        <v>75</v>
      </c>
      <c r="K62" s="45">
        <f>80</f>
        <v>80</v>
      </c>
      <c r="L62" s="45">
        <f>88</f>
        <v>88</v>
      </c>
      <c r="M62" s="45">
        <f>93</f>
        <v>93</v>
      </c>
      <c r="N62" s="45">
        <f>97</f>
        <v>97</v>
      </c>
      <c r="O62" s="45">
        <f>100</f>
        <v>100</v>
      </c>
      <c r="P62" s="95">
        <f>105</f>
        <v>105</v>
      </c>
      <c r="Q62" s="95">
        <f>110</f>
        <v>110</v>
      </c>
    </row>
    <row r="63" spans="1:17" ht="15" customHeight="1" x14ac:dyDescent="0.2">
      <c r="A63" s="311" t="s">
        <v>651</v>
      </c>
      <c r="B63" s="309" t="s">
        <v>652</v>
      </c>
      <c r="C63" s="59" t="s">
        <v>593</v>
      </c>
      <c r="D63" s="45">
        <f>85</f>
        <v>85</v>
      </c>
      <c r="E63" s="45">
        <f>95</f>
        <v>95</v>
      </c>
      <c r="F63" s="45">
        <f>107</f>
        <v>107</v>
      </c>
      <c r="G63" s="45">
        <f>110</f>
        <v>110</v>
      </c>
      <c r="H63" s="45">
        <f>120</f>
        <v>120</v>
      </c>
      <c r="I63" s="45">
        <f>135</f>
        <v>135</v>
      </c>
      <c r="J63" s="45">
        <f>135</f>
        <v>135</v>
      </c>
      <c r="K63" s="45">
        <f>145</f>
        <v>145</v>
      </c>
      <c r="L63" s="45">
        <f>155</f>
        <v>155</v>
      </c>
      <c r="M63" s="45">
        <f>170</f>
        <v>170</v>
      </c>
      <c r="N63" s="45">
        <f>180</f>
        <v>180</v>
      </c>
      <c r="O63" s="45">
        <f>190</f>
        <v>190</v>
      </c>
      <c r="P63" s="95">
        <f>200</f>
        <v>200</v>
      </c>
      <c r="Q63" s="95">
        <f>215</f>
        <v>215</v>
      </c>
    </row>
    <row r="64" spans="1:17" ht="15" customHeight="1" x14ac:dyDescent="0.2">
      <c r="A64" s="311"/>
      <c r="B64" s="309"/>
      <c r="C64" s="59" t="s">
        <v>594</v>
      </c>
      <c r="D64" s="45">
        <f>70</f>
        <v>70</v>
      </c>
      <c r="E64" s="45">
        <f>80</f>
        <v>80</v>
      </c>
      <c r="F64" s="45">
        <f>95</f>
        <v>95</v>
      </c>
      <c r="G64" s="45">
        <f>100</f>
        <v>100</v>
      </c>
      <c r="H64" s="45">
        <f>110</f>
        <v>110</v>
      </c>
      <c r="I64" s="45">
        <f>117</f>
        <v>117</v>
      </c>
      <c r="J64" s="45">
        <f>125</f>
        <v>125</v>
      </c>
      <c r="K64" s="45">
        <f>140</f>
        <v>140</v>
      </c>
      <c r="L64" s="45">
        <f>150</f>
        <v>150</v>
      </c>
      <c r="M64" s="45">
        <f>155</f>
        <v>155</v>
      </c>
      <c r="N64" s="45">
        <f>167</f>
        <v>167</v>
      </c>
      <c r="O64" s="45">
        <f>180</f>
        <v>180</v>
      </c>
      <c r="P64" s="95">
        <f>200</f>
        <v>200</v>
      </c>
      <c r="Q64" s="95">
        <f>220</f>
        <v>220</v>
      </c>
    </row>
    <row r="65" spans="1:17" ht="20.25" customHeight="1" x14ac:dyDescent="0.2">
      <c r="A65" s="311"/>
      <c r="B65" s="309"/>
      <c r="C65" s="59" t="s">
        <v>595</v>
      </c>
      <c r="D65" s="45">
        <f>70</f>
        <v>70</v>
      </c>
      <c r="E65" s="45">
        <f>75</f>
        <v>75</v>
      </c>
      <c r="F65" s="45">
        <f>80</f>
        <v>80</v>
      </c>
      <c r="G65" s="45">
        <f>90</f>
        <v>90</v>
      </c>
      <c r="H65" s="45">
        <f>100</f>
        <v>100</v>
      </c>
      <c r="I65" s="45">
        <f>105</f>
        <v>105</v>
      </c>
      <c r="J65" s="45">
        <f>110</f>
        <v>110</v>
      </c>
      <c r="K65" s="45">
        <f>120</f>
        <v>120</v>
      </c>
      <c r="L65" s="45">
        <f>130</f>
        <v>130</v>
      </c>
      <c r="M65" s="45">
        <f>150</f>
        <v>150</v>
      </c>
      <c r="N65" s="45">
        <f>170</f>
        <v>170</v>
      </c>
      <c r="O65" s="45">
        <f>175</f>
        <v>175</v>
      </c>
      <c r="P65" s="95">
        <f>190</f>
        <v>190</v>
      </c>
      <c r="Q65" s="95">
        <f>210</f>
        <v>210</v>
      </c>
    </row>
    <row r="66" spans="1:17" ht="18.75" customHeight="1" x14ac:dyDescent="0.2">
      <c r="A66" s="311"/>
      <c r="B66" s="309"/>
      <c r="C66" s="59" t="s">
        <v>596</v>
      </c>
      <c r="D66" s="45">
        <f>65</f>
        <v>65</v>
      </c>
      <c r="E66" s="45">
        <f>70</f>
        <v>70</v>
      </c>
      <c r="F66" s="45">
        <f>70</f>
        <v>70</v>
      </c>
      <c r="G66" s="45">
        <f>78</f>
        <v>78</v>
      </c>
      <c r="H66" s="45">
        <f>85</f>
        <v>85</v>
      </c>
      <c r="I66" s="45">
        <f>95</f>
        <v>95</v>
      </c>
      <c r="J66" s="45">
        <f>107</f>
        <v>107</v>
      </c>
      <c r="K66" s="45">
        <f>115</f>
        <v>115</v>
      </c>
      <c r="L66" s="45">
        <f>125</f>
        <v>125</v>
      </c>
      <c r="M66" s="45">
        <f>135</f>
        <v>135</v>
      </c>
      <c r="N66" s="45">
        <f>150</f>
        <v>150</v>
      </c>
      <c r="O66" s="45">
        <f>170</f>
        <v>170</v>
      </c>
      <c r="P66" s="95">
        <f>180</f>
        <v>180</v>
      </c>
      <c r="Q66" s="95">
        <f>200</f>
        <v>200</v>
      </c>
    </row>
    <row r="67" spans="1:17" ht="19.5" customHeight="1" x14ac:dyDescent="0.2">
      <c r="A67" s="311" t="s">
        <v>653</v>
      </c>
      <c r="B67" s="309" t="s">
        <v>654</v>
      </c>
      <c r="C67" s="59" t="s">
        <v>599</v>
      </c>
      <c r="D67" s="45">
        <f>70</f>
        <v>70</v>
      </c>
      <c r="E67" s="45">
        <f>77</f>
        <v>77</v>
      </c>
      <c r="F67" s="45">
        <f>83</f>
        <v>83</v>
      </c>
      <c r="G67" s="45">
        <f>85</f>
        <v>85</v>
      </c>
      <c r="H67" s="45">
        <f>85</f>
        <v>85</v>
      </c>
      <c r="I67" s="45">
        <f>90</f>
        <v>90</v>
      </c>
      <c r="J67" s="45">
        <f>100</f>
        <v>100</v>
      </c>
      <c r="K67" s="45">
        <f>120</f>
        <v>120</v>
      </c>
      <c r="L67" s="45">
        <f>125</f>
        <v>125</v>
      </c>
      <c r="M67" s="45">
        <f>130</f>
        <v>130</v>
      </c>
      <c r="N67" s="45">
        <f>140</f>
        <v>140</v>
      </c>
      <c r="O67" s="45">
        <f>145</f>
        <v>145</v>
      </c>
      <c r="P67" s="95">
        <f>150</f>
        <v>150</v>
      </c>
      <c r="Q67" s="95">
        <f>150</f>
        <v>150</v>
      </c>
    </row>
    <row r="68" spans="1:17" ht="33" customHeight="1" x14ac:dyDescent="0.2">
      <c r="A68" s="311"/>
      <c r="B68" s="309"/>
      <c r="C68" s="59" t="s">
        <v>603</v>
      </c>
      <c r="D68" s="45">
        <f>75</f>
        <v>75</v>
      </c>
      <c r="E68" s="45">
        <f>80</f>
        <v>80</v>
      </c>
      <c r="F68" s="45">
        <f>85</f>
        <v>85</v>
      </c>
      <c r="G68" s="45">
        <f>90</f>
        <v>90</v>
      </c>
      <c r="H68" s="45">
        <f>90</f>
        <v>90</v>
      </c>
      <c r="I68" s="45">
        <f>95</f>
        <v>95</v>
      </c>
      <c r="J68" s="45">
        <f>100</f>
        <v>100</v>
      </c>
      <c r="K68" s="45">
        <f>110</f>
        <v>110</v>
      </c>
      <c r="L68" s="45">
        <f>120</f>
        <v>120</v>
      </c>
      <c r="M68" s="45">
        <f>130</f>
        <v>130</v>
      </c>
      <c r="N68" s="45">
        <f>145</f>
        <v>145</v>
      </c>
      <c r="O68" s="45">
        <f>160</f>
        <v>160</v>
      </c>
      <c r="P68" s="95">
        <f>170</f>
        <v>170</v>
      </c>
      <c r="Q68" s="95">
        <f>180</f>
        <v>180</v>
      </c>
    </row>
    <row r="69" spans="1:17" ht="17.25" customHeight="1" x14ac:dyDescent="0.2">
      <c r="A69" s="311"/>
      <c r="B69" s="309"/>
      <c r="C69" s="59" t="s">
        <v>600</v>
      </c>
      <c r="D69" s="45">
        <f>83</f>
        <v>83</v>
      </c>
      <c r="E69" s="45">
        <f>90</f>
        <v>90</v>
      </c>
      <c r="F69" s="45">
        <f>95</f>
        <v>95</v>
      </c>
      <c r="G69" s="45">
        <f>100</f>
        <v>100</v>
      </c>
      <c r="H69" s="45">
        <f>110</f>
        <v>110</v>
      </c>
      <c r="I69" s="45">
        <f>120</f>
        <v>120</v>
      </c>
      <c r="J69" s="45">
        <f>135</f>
        <v>135</v>
      </c>
      <c r="K69" s="45">
        <f>145</f>
        <v>145</v>
      </c>
      <c r="L69" s="45">
        <f>160</f>
        <v>160</v>
      </c>
      <c r="M69" s="95">
        <f>170</f>
        <v>170</v>
      </c>
      <c r="N69" s="95">
        <f>180</f>
        <v>180</v>
      </c>
      <c r="O69" s="95">
        <f>190</f>
        <v>190</v>
      </c>
      <c r="P69" s="95">
        <f>200</f>
        <v>200</v>
      </c>
      <c r="Q69" s="95">
        <f>210</f>
        <v>210</v>
      </c>
    </row>
    <row r="70" spans="1:17" ht="18" customHeight="1" x14ac:dyDescent="0.2">
      <c r="A70" s="311"/>
      <c r="B70" s="309"/>
      <c r="C70" s="59" t="s">
        <v>614</v>
      </c>
      <c r="D70" s="45">
        <f>63</f>
        <v>63</v>
      </c>
      <c r="E70" s="45">
        <f>70</f>
        <v>70</v>
      </c>
      <c r="F70" s="45">
        <f>75</f>
        <v>75</v>
      </c>
      <c r="G70" s="45">
        <f>80</f>
        <v>80</v>
      </c>
      <c r="H70" s="45">
        <f>90</f>
        <v>90</v>
      </c>
      <c r="I70" s="45">
        <f>100</f>
        <v>100</v>
      </c>
      <c r="J70" s="45">
        <f>115</f>
        <v>115</v>
      </c>
      <c r="K70" s="45">
        <f>125</f>
        <v>125</v>
      </c>
      <c r="L70" s="45">
        <f>140</f>
        <v>140</v>
      </c>
      <c r="M70" s="45">
        <f>150</f>
        <v>150</v>
      </c>
      <c r="N70" s="45">
        <f>160</f>
        <v>160</v>
      </c>
      <c r="O70" s="45">
        <f>170</f>
        <v>170</v>
      </c>
      <c r="P70" s="95">
        <f>180</f>
        <v>180</v>
      </c>
      <c r="Q70" s="95">
        <f>200</f>
        <v>200</v>
      </c>
    </row>
    <row r="71" spans="1:17" ht="19.5" customHeight="1" x14ac:dyDescent="0.2">
      <c r="A71" s="311"/>
      <c r="B71" s="309"/>
      <c r="C71" s="59" t="s">
        <v>602</v>
      </c>
      <c r="D71" s="45">
        <f>110</f>
        <v>110</v>
      </c>
      <c r="E71" s="45">
        <f>120</f>
        <v>120</v>
      </c>
      <c r="F71" s="45">
        <f>130</f>
        <v>130</v>
      </c>
      <c r="G71" s="45">
        <f>140</f>
        <v>140</v>
      </c>
      <c r="H71" s="45">
        <f>150</f>
        <v>150</v>
      </c>
      <c r="I71" s="45">
        <f>160</f>
        <v>160</v>
      </c>
      <c r="J71" s="45">
        <f>170</f>
        <v>170</v>
      </c>
      <c r="K71" s="45">
        <f>180</f>
        <v>180</v>
      </c>
      <c r="L71" s="95">
        <f>190</f>
        <v>190</v>
      </c>
      <c r="M71" s="95">
        <f>200</f>
        <v>200</v>
      </c>
      <c r="N71" s="95">
        <f>210</f>
        <v>210</v>
      </c>
      <c r="O71" s="95">
        <f>220</f>
        <v>220</v>
      </c>
      <c r="P71" s="95">
        <f>230</f>
        <v>230</v>
      </c>
      <c r="Q71" s="95">
        <f>240</f>
        <v>240</v>
      </c>
    </row>
    <row r="72" spans="1:17" ht="15" x14ac:dyDescent="0.2">
      <c r="A72" s="308" t="s">
        <v>655</v>
      </c>
      <c r="B72" s="309" t="s">
        <v>656</v>
      </c>
      <c r="C72" s="59" t="s">
        <v>657</v>
      </c>
      <c r="D72" s="45">
        <f>25</f>
        <v>25</v>
      </c>
      <c r="E72" s="45">
        <f>27</f>
        <v>27</v>
      </c>
      <c r="F72" s="45">
        <f>29</f>
        <v>29</v>
      </c>
      <c r="G72" s="45">
        <f>31</f>
        <v>31</v>
      </c>
      <c r="H72" s="45">
        <f>34</f>
        <v>34</v>
      </c>
      <c r="I72" s="45">
        <f>35</f>
        <v>35</v>
      </c>
      <c r="J72" s="45">
        <f>37</f>
        <v>37</v>
      </c>
      <c r="K72" s="45">
        <f>40</f>
        <v>40</v>
      </c>
      <c r="L72" s="45">
        <f>41</f>
        <v>41</v>
      </c>
      <c r="M72" s="45">
        <f>44</f>
        <v>44</v>
      </c>
      <c r="N72" s="45">
        <f>46</f>
        <v>46</v>
      </c>
      <c r="O72" s="45">
        <f>47</f>
        <v>47</v>
      </c>
      <c r="P72" s="95">
        <f>50</f>
        <v>50</v>
      </c>
      <c r="Q72" s="95">
        <f>55</f>
        <v>55</v>
      </c>
    </row>
    <row r="73" spans="1:17" ht="75" x14ac:dyDescent="0.2">
      <c r="A73" s="308"/>
      <c r="B73" s="309"/>
      <c r="C73" s="59" t="s">
        <v>658</v>
      </c>
      <c r="D73" s="45">
        <f>25</f>
        <v>25</v>
      </c>
      <c r="E73" s="45">
        <f>28</f>
        <v>28</v>
      </c>
      <c r="F73" s="45">
        <f>29</f>
        <v>29</v>
      </c>
      <c r="G73" s="45">
        <f>32</f>
        <v>32</v>
      </c>
      <c r="H73" s="45">
        <f>33</f>
        <v>33</v>
      </c>
      <c r="I73" s="45">
        <f>35</f>
        <v>35</v>
      </c>
      <c r="J73" s="45">
        <f>38</f>
        <v>38</v>
      </c>
      <c r="K73" s="45">
        <f>40</f>
        <v>40</v>
      </c>
      <c r="L73" s="45">
        <f>42</f>
        <v>42</v>
      </c>
      <c r="M73" s="45">
        <f>44</f>
        <v>44</v>
      </c>
      <c r="N73" s="45">
        <f>46</f>
        <v>46</v>
      </c>
      <c r="O73" s="45">
        <f>48</f>
        <v>48</v>
      </c>
      <c r="P73" s="95">
        <f>50</f>
        <v>50</v>
      </c>
      <c r="Q73" s="95">
        <f>55</f>
        <v>55</v>
      </c>
    </row>
    <row r="74" spans="1:17" ht="15.75" customHeight="1" x14ac:dyDescent="0.2">
      <c r="A74" s="102" t="s">
        <v>6</v>
      </c>
      <c r="B74" s="309" t="s">
        <v>7</v>
      </c>
      <c r="C74" s="309"/>
      <c r="D74" s="45"/>
      <c r="E74" s="45"/>
      <c r="F74" s="45"/>
      <c r="G74" s="45"/>
      <c r="H74" s="45"/>
      <c r="I74" s="45"/>
      <c r="J74" s="95"/>
      <c r="K74" s="95"/>
      <c r="L74" s="95"/>
      <c r="M74" s="95"/>
      <c r="N74" s="95"/>
      <c r="O74" s="95"/>
      <c r="P74" s="95"/>
      <c r="Q74" s="95"/>
    </row>
    <row r="75" spans="1:17" ht="45" x14ac:dyDescent="0.2">
      <c r="A75" s="102" t="s">
        <v>659</v>
      </c>
      <c r="B75" s="59" t="s">
        <v>660</v>
      </c>
      <c r="C75" s="59" t="s">
        <v>661</v>
      </c>
      <c r="D75" s="45">
        <f>29</f>
        <v>29</v>
      </c>
      <c r="E75" s="45">
        <f>30</f>
        <v>30</v>
      </c>
      <c r="F75" s="45">
        <f>30+1</f>
        <v>31</v>
      </c>
      <c r="G75" s="45">
        <f>30+1</f>
        <v>31</v>
      </c>
      <c r="H75" s="45">
        <f>30</f>
        <v>30</v>
      </c>
      <c r="I75" s="20">
        <f>28+1</f>
        <v>29</v>
      </c>
      <c r="J75" s="101">
        <f>27</f>
        <v>27</v>
      </c>
      <c r="K75" s="101">
        <f>27</f>
        <v>27</v>
      </c>
      <c r="L75" s="101">
        <f>30+1</f>
        <v>31</v>
      </c>
      <c r="M75" s="101">
        <f>27</f>
        <v>27</v>
      </c>
      <c r="N75" s="101">
        <f>31+1</f>
        <v>32</v>
      </c>
      <c r="O75" s="101">
        <f>27</f>
        <v>27</v>
      </c>
      <c r="P75" s="101">
        <f>28</f>
        <v>28</v>
      </c>
      <c r="Q75" s="101">
        <f>27+1</f>
        <v>28</v>
      </c>
    </row>
    <row r="76" spans="1:17" ht="45" x14ac:dyDescent="0.2">
      <c r="A76" s="102" t="s">
        <v>662</v>
      </c>
      <c r="B76" s="59" t="s">
        <v>663</v>
      </c>
      <c r="C76" s="59" t="s">
        <v>661</v>
      </c>
      <c r="D76" s="45">
        <f>25+3</f>
        <v>28</v>
      </c>
      <c r="E76" s="45">
        <f>26+3+1</f>
        <v>30</v>
      </c>
      <c r="F76" s="45">
        <f>27+3+1</f>
        <v>31</v>
      </c>
      <c r="G76" s="45">
        <f>30+3+1</f>
        <v>34</v>
      </c>
      <c r="H76" s="45">
        <f>27+3+1</f>
        <v>31</v>
      </c>
      <c r="I76" s="45">
        <f>24+3+1</f>
        <v>28</v>
      </c>
      <c r="J76" s="45">
        <f t="shared" ref="J76:Q76" si="0">25+3+1</f>
        <v>29</v>
      </c>
      <c r="K76" s="45">
        <f t="shared" si="0"/>
        <v>29</v>
      </c>
      <c r="L76" s="45">
        <f t="shared" si="0"/>
        <v>29</v>
      </c>
      <c r="M76" s="45">
        <f t="shared" si="0"/>
        <v>29</v>
      </c>
      <c r="N76" s="45">
        <f t="shared" si="0"/>
        <v>29</v>
      </c>
      <c r="O76" s="45">
        <f t="shared" si="0"/>
        <v>29</v>
      </c>
      <c r="P76" s="45">
        <f t="shared" si="0"/>
        <v>29</v>
      </c>
      <c r="Q76" s="45">
        <f t="shared" si="0"/>
        <v>29</v>
      </c>
    </row>
    <row r="77" spans="1:17" ht="45" x14ac:dyDescent="0.2">
      <c r="A77" s="102" t="s">
        <v>664</v>
      </c>
      <c r="B77" s="59" t="s">
        <v>665</v>
      </c>
      <c r="C77" s="59" t="s">
        <v>666</v>
      </c>
      <c r="D77" s="45">
        <f>24</f>
        <v>24</v>
      </c>
      <c r="E77" s="45">
        <f>24</f>
        <v>24</v>
      </c>
      <c r="F77" s="45">
        <f>24</f>
        <v>24</v>
      </c>
      <c r="G77" s="45">
        <f>24+1</f>
        <v>25</v>
      </c>
      <c r="H77" s="45">
        <f>25</f>
        <v>25</v>
      </c>
      <c r="I77" s="45">
        <f>24</f>
        <v>24</v>
      </c>
      <c r="J77" s="95">
        <f>25</f>
        <v>25</v>
      </c>
      <c r="K77" s="95">
        <f>26</f>
        <v>26</v>
      </c>
      <c r="L77" s="95">
        <f>25+1</f>
        <v>26</v>
      </c>
      <c r="M77" s="95">
        <f>25</f>
        <v>25</v>
      </c>
      <c r="N77" s="95">
        <f>25</f>
        <v>25</v>
      </c>
      <c r="O77" s="95">
        <f>25</f>
        <v>25</v>
      </c>
      <c r="P77" s="95">
        <f>25</f>
        <v>25</v>
      </c>
      <c r="Q77" s="95">
        <f>26+1</f>
        <v>27</v>
      </c>
    </row>
    <row r="78" spans="1:17" ht="18" customHeight="1" x14ac:dyDescent="0.2">
      <c r="A78" s="102" t="s">
        <v>30</v>
      </c>
      <c r="B78" s="309" t="s">
        <v>31</v>
      </c>
      <c r="C78" s="309"/>
      <c r="D78" s="176"/>
      <c r="E78" s="176"/>
      <c r="F78" s="176"/>
      <c r="G78" s="95"/>
      <c r="H78" s="176"/>
      <c r="I78" s="176"/>
      <c r="J78" s="176"/>
      <c r="K78" s="176"/>
      <c r="L78" s="176"/>
      <c r="M78" s="176"/>
      <c r="N78" s="176"/>
      <c r="O78" s="176"/>
      <c r="P78" s="176"/>
      <c r="Q78" s="176"/>
    </row>
    <row r="79" spans="1:17" ht="225.75" customHeight="1" x14ac:dyDescent="0.2">
      <c r="A79" s="102" t="s">
        <v>667</v>
      </c>
      <c r="B79" s="59" t="s">
        <v>668</v>
      </c>
      <c r="C79" s="59" t="s">
        <v>1127</v>
      </c>
      <c r="D79" s="45"/>
      <c r="E79" s="45">
        <f>8</f>
        <v>8</v>
      </c>
      <c r="F79" s="45">
        <f>6</f>
        <v>6</v>
      </c>
      <c r="G79" s="45">
        <f>3</f>
        <v>3</v>
      </c>
      <c r="H79" s="45">
        <f>3</f>
        <v>3</v>
      </c>
      <c r="I79" s="45">
        <f>4</f>
        <v>4</v>
      </c>
      <c r="J79" s="95">
        <f>4</f>
        <v>4</v>
      </c>
      <c r="K79" s="95">
        <f>5</f>
        <v>5</v>
      </c>
      <c r="L79" s="95">
        <f>5</f>
        <v>5</v>
      </c>
      <c r="M79" s="95">
        <f>7</f>
        <v>7</v>
      </c>
      <c r="N79" s="95">
        <f>8</f>
        <v>8</v>
      </c>
      <c r="O79" s="95">
        <f>10</f>
        <v>10</v>
      </c>
      <c r="P79" s="95">
        <f>10</f>
        <v>10</v>
      </c>
      <c r="Q79" s="95">
        <f>9</f>
        <v>9</v>
      </c>
    </row>
    <row r="80" spans="1:17" ht="60" x14ac:dyDescent="0.2">
      <c r="A80" s="102" t="s">
        <v>669</v>
      </c>
      <c r="B80" s="59" t="s">
        <v>670</v>
      </c>
      <c r="C80" s="59" t="s">
        <v>671</v>
      </c>
      <c r="D80" s="45"/>
      <c r="E80" s="45">
        <f>4</f>
        <v>4</v>
      </c>
      <c r="F80" s="45">
        <f>4</f>
        <v>4</v>
      </c>
      <c r="G80" s="45">
        <f>3</f>
        <v>3</v>
      </c>
      <c r="H80" s="45">
        <f>2</f>
        <v>2</v>
      </c>
      <c r="I80" s="45">
        <f>4</f>
        <v>4</v>
      </c>
      <c r="J80" s="95">
        <f>4</f>
        <v>4</v>
      </c>
      <c r="K80" s="95">
        <f>2</f>
        <v>2</v>
      </c>
      <c r="L80" s="95">
        <f>2</f>
        <v>2</v>
      </c>
      <c r="M80" s="95">
        <f>4</f>
        <v>4</v>
      </c>
      <c r="N80" s="95">
        <f>4</f>
        <v>4</v>
      </c>
      <c r="O80" s="95">
        <f>3</f>
        <v>3</v>
      </c>
      <c r="P80" s="95">
        <f>3</f>
        <v>3</v>
      </c>
      <c r="Q80" s="95">
        <f>5</f>
        <v>5</v>
      </c>
    </row>
    <row r="81" spans="1:17" ht="90" x14ac:dyDescent="0.2">
      <c r="A81" s="102" t="s">
        <v>672</v>
      </c>
      <c r="B81" s="59" t="s">
        <v>673</v>
      </c>
      <c r="C81" s="59" t="s">
        <v>674</v>
      </c>
      <c r="D81" s="45">
        <f>7</f>
        <v>7</v>
      </c>
      <c r="E81" s="45">
        <f>7</f>
        <v>7</v>
      </c>
      <c r="F81" s="45">
        <f>7</f>
        <v>7</v>
      </c>
      <c r="G81" s="45">
        <f>7</f>
        <v>7</v>
      </c>
      <c r="H81" s="45">
        <f>6</f>
        <v>6</v>
      </c>
      <c r="I81" s="45">
        <f>5</f>
        <v>5</v>
      </c>
      <c r="J81" s="95">
        <f>4</f>
        <v>4</v>
      </c>
      <c r="K81" s="95">
        <f>4</f>
        <v>4</v>
      </c>
      <c r="L81" s="95">
        <f>5</f>
        <v>5</v>
      </c>
      <c r="M81" s="95">
        <f>5</f>
        <v>5</v>
      </c>
      <c r="N81" s="95">
        <f>4</f>
        <v>4</v>
      </c>
      <c r="O81" s="95">
        <f>4</f>
        <v>4</v>
      </c>
      <c r="P81" s="95">
        <f>7</f>
        <v>7</v>
      </c>
      <c r="Q81" s="95">
        <f>4</f>
        <v>4</v>
      </c>
    </row>
    <row r="82" spans="1:17" ht="182.25" customHeight="1" x14ac:dyDescent="0.2">
      <c r="A82" s="102" t="s">
        <v>675</v>
      </c>
      <c r="B82" s="59" t="s">
        <v>676</v>
      </c>
      <c r="C82" s="59" t="s">
        <v>677</v>
      </c>
      <c r="D82" s="45">
        <f>5</f>
        <v>5</v>
      </c>
      <c r="E82" s="45">
        <f>4</f>
        <v>4</v>
      </c>
      <c r="F82" s="45">
        <f>4</f>
        <v>4</v>
      </c>
      <c r="G82" s="45">
        <f>5</f>
        <v>5</v>
      </c>
      <c r="H82" s="45">
        <f>4</f>
        <v>4</v>
      </c>
      <c r="I82" s="45">
        <f>4</f>
        <v>4</v>
      </c>
      <c r="J82" s="95">
        <f>3</f>
        <v>3</v>
      </c>
      <c r="K82" s="95">
        <f>3</f>
        <v>3</v>
      </c>
      <c r="L82" s="95">
        <f>4</f>
        <v>4</v>
      </c>
      <c r="M82" s="95">
        <f>3</f>
        <v>3</v>
      </c>
      <c r="N82" s="95">
        <f>5</f>
        <v>5</v>
      </c>
      <c r="O82" s="95">
        <f>3</f>
        <v>3</v>
      </c>
      <c r="P82" s="95">
        <f>3</f>
        <v>3</v>
      </c>
      <c r="Q82" s="95">
        <f>3</f>
        <v>3</v>
      </c>
    </row>
    <row r="83" spans="1:17" ht="75" x14ac:dyDescent="0.2">
      <c r="A83" s="102" t="s">
        <v>680</v>
      </c>
      <c r="B83" s="59" t="s">
        <v>681</v>
      </c>
      <c r="C83" s="59" t="s">
        <v>1150</v>
      </c>
      <c r="D83" s="45">
        <f>4</f>
        <v>4</v>
      </c>
      <c r="E83" s="45">
        <f>6+1</f>
        <v>7</v>
      </c>
      <c r="F83" s="45">
        <f>5+1</f>
        <v>6</v>
      </c>
      <c r="G83" s="45">
        <f>5+1</f>
        <v>6</v>
      </c>
      <c r="H83" s="45">
        <f>6+1</f>
        <v>7</v>
      </c>
      <c r="I83" s="45">
        <f>4+1</f>
        <v>5</v>
      </c>
      <c r="J83" s="45">
        <f>4+1</f>
        <v>5</v>
      </c>
      <c r="K83" s="45">
        <f>6+1</f>
        <v>7</v>
      </c>
      <c r="L83" s="45">
        <f>4+1</f>
        <v>5</v>
      </c>
      <c r="M83" s="45">
        <f t="shared" ref="M83:N83" si="1">4+1</f>
        <v>5</v>
      </c>
      <c r="N83" s="45">
        <f t="shared" si="1"/>
        <v>5</v>
      </c>
      <c r="O83" s="45">
        <f>5+1</f>
        <v>6</v>
      </c>
      <c r="P83" s="45">
        <f>4+1</f>
        <v>5</v>
      </c>
      <c r="Q83" s="45">
        <f>4+1</f>
        <v>5</v>
      </c>
    </row>
    <row r="84" spans="1:17" ht="15" x14ac:dyDescent="0.2">
      <c r="A84" s="102" t="s">
        <v>678</v>
      </c>
      <c r="B84" s="59" t="s">
        <v>679</v>
      </c>
      <c r="C84" s="59" t="s">
        <v>679</v>
      </c>
      <c r="D84" s="45">
        <f>2</f>
        <v>2</v>
      </c>
      <c r="E84" s="45">
        <f>2</f>
        <v>2</v>
      </c>
      <c r="F84" s="45">
        <f>2</f>
        <v>2</v>
      </c>
      <c r="G84" s="45">
        <f>2</f>
        <v>2</v>
      </c>
      <c r="H84" s="45">
        <f>2</f>
        <v>2</v>
      </c>
      <c r="I84" s="45">
        <f>2</f>
        <v>2</v>
      </c>
      <c r="J84" s="45">
        <f>2</f>
        <v>2</v>
      </c>
      <c r="K84" s="45">
        <f>2</f>
        <v>2</v>
      </c>
      <c r="L84" s="45">
        <f>2</f>
        <v>2</v>
      </c>
      <c r="M84" s="45">
        <f>2</f>
        <v>2</v>
      </c>
      <c r="N84" s="45">
        <f>2</f>
        <v>2</v>
      </c>
      <c r="O84" s="45">
        <f>2</f>
        <v>2</v>
      </c>
      <c r="P84" s="45">
        <f>2</f>
        <v>2</v>
      </c>
      <c r="Q84" s="45">
        <f>2</f>
        <v>2</v>
      </c>
    </row>
    <row r="85" spans="1:17" ht="14.25" customHeight="1" x14ac:dyDescent="0.2">
      <c r="A85" s="102" t="s">
        <v>32</v>
      </c>
      <c r="B85" s="319" t="s">
        <v>33</v>
      </c>
      <c r="C85" s="320"/>
      <c r="D85" s="104"/>
      <c r="E85" s="104"/>
      <c r="F85" s="104"/>
      <c r="G85" s="104"/>
      <c r="H85" s="104"/>
      <c r="I85" s="104"/>
      <c r="J85" s="104"/>
      <c r="K85" s="177"/>
      <c r="L85" s="104"/>
      <c r="M85" s="104"/>
      <c r="N85" s="104"/>
      <c r="O85" s="104"/>
      <c r="P85" s="104"/>
      <c r="Q85" s="104"/>
    </row>
    <row r="86" spans="1:17" ht="167.25" customHeight="1" x14ac:dyDescent="0.2">
      <c r="A86" s="102" t="s">
        <v>682</v>
      </c>
      <c r="B86" s="59" t="s">
        <v>683</v>
      </c>
      <c r="C86" s="59" t="s">
        <v>684</v>
      </c>
      <c r="D86" s="105">
        <f>11</f>
        <v>11</v>
      </c>
      <c r="E86" s="105">
        <f>10</f>
        <v>10</v>
      </c>
      <c r="F86" s="105">
        <f>10</f>
        <v>10</v>
      </c>
      <c r="G86" s="105">
        <f>10</f>
        <v>10</v>
      </c>
      <c r="H86" s="105">
        <f>10</f>
        <v>10</v>
      </c>
      <c r="I86" s="105">
        <f>10</f>
        <v>10</v>
      </c>
      <c r="J86" s="105">
        <f>10</f>
        <v>10</v>
      </c>
      <c r="K86" s="105">
        <f>10</f>
        <v>10</v>
      </c>
      <c r="L86" s="105">
        <f>10</f>
        <v>10</v>
      </c>
      <c r="M86" s="75">
        <f>12</f>
        <v>12</v>
      </c>
      <c r="N86" s="75">
        <f>12</f>
        <v>12</v>
      </c>
      <c r="O86" s="75">
        <f>12</f>
        <v>12</v>
      </c>
      <c r="P86" s="75">
        <f>12</f>
        <v>12</v>
      </c>
      <c r="Q86" s="92">
        <f>13</f>
        <v>13</v>
      </c>
    </row>
    <row r="87" spans="1:17" ht="47.25" customHeight="1" x14ac:dyDescent="0.2">
      <c r="A87" s="102" t="s">
        <v>685</v>
      </c>
      <c r="B87" s="59" t="s">
        <v>686</v>
      </c>
      <c r="C87" s="59" t="s">
        <v>687</v>
      </c>
      <c r="D87" s="45">
        <f>2</f>
        <v>2</v>
      </c>
      <c r="E87" s="45">
        <f>4</f>
        <v>4</v>
      </c>
      <c r="F87" s="45">
        <f>2</f>
        <v>2</v>
      </c>
      <c r="G87" s="45">
        <f>2</f>
        <v>2</v>
      </c>
      <c r="H87" s="45">
        <f>2</f>
        <v>2</v>
      </c>
      <c r="I87" s="45">
        <f>2</f>
        <v>2</v>
      </c>
      <c r="J87" s="45">
        <f>2</f>
        <v>2</v>
      </c>
      <c r="K87" s="45">
        <f>2</f>
        <v>2</v>
      </c>
      <c r="L87" s="45">
        <f>2</f>
        <v>2</v>
      </c>
      <c r="M87" s="45">
        <f>2</f>
        <v>2</v>
      </c>
      <c r="N87" s="45">
        <f>2</f>
        <v>2</v>
      </c>
      <c r="O87" s="45">
        <f>2</f>
        <v>2</v>
      </c>
      <c r="P87" s="45">
        <f>2</f>
        <v>2</v>
      </c>
      <c r="Q87" s="45">
        <f>2</f>
        <v>2</v>
      </c>
    </row>
    <row r="88" spans="1:17" ht="15.75" customHeight="1" x14ac:dyDescent="0.2">
      <c r="A88" s="9" t="s">
        <v>148</v>
      </c>
      <c r="B88" s="312" t="s">
        <v>149</v>
      </c>
      <c r="C88" s="313"/>
      <c r="D88" s="75"/>
      <c r="E88" s="75"/>
      <c r="F88" s="75"/>
      <c r="G88" s="100"/>
      <c r="H88" s="75"/>
      <c r="I88" s="75"/>
      <c r="J88" s="75"/>
      <c r="K88" s="75"/>
      <c r="L88" s="75"/>
      <c r="M88" s="75"/>
      <c r="N88" s="75"/>
      <c r="O88" s="75"/>
      <c r="P88" s="92"/>
      <c r="Q88" s="92"/>
    </row>
    <row r="89" spans="1:17" s="13" customFormat="1" ht="45.75" customHeight="1" x14ac:dyDescent="0.25">
      <c r="A89" s="318" t="s">
        <v>689</v>
      </c>
      <c r="B89" s="332" t="s">
        <v>931</v>
      </c>
      <c r="C89" s="50" t="s">
        <v>690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95"/>
      <c r="Q89" s="95"/>
    </row>
    <row r="90" spans="1:17" s="13" customFormat="1" ht="46.5" customHeight="1" x14ac:dyDescent="0.25">
      <c r="A90" s="318"/>
      <c r="B90" s="333"/>
      <c r="C90" s="50" t="s">
        <v>691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95"/>
      <c r="Q90" s="95"/>
    </row>
    <row r="91" spans="1:17" s="13" customFormat="1" ht="60.75" customHeight="1" x14ac:dyDescent="0.25">
      <c r="A91" s="318"/>
      <c r="B91" s="333"/>
      <c r="C91" s="50" t="s">
        <v>692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95"/>
      <c r="Q91" s="95"/>
    </row>
    <row r="92" spans="1:17" s="13" customFormat="1" ht="18.75" customHeight="1" x14ac:dyDescent="0.25">
      <c r="A92" s="318"/>
      <c r="B92" s="333"/>
      <c r="C92" s="50" t="s">
        <v>693</v>
      </c>
      <c r="D92" s="45">
        <f>3</f>
        <v>3</v>
      </c>
      <c r="E92" s="45">
        <f>3</f>
        <v>3</v>
      </c>
      <c r="F92" s="45">
        <f>3</f>
        <v>3</v>
      </c>
      <c r="G92" s="45">
        <f>3</f>
        <v>3</v>
      </c>
      <c r="H92" s="45">
        <f>3</f>
        <v>3</v>
      </c>
      <c r="I92" s="45">
        <f>3</f>
        <v>3</v>
      </c>
      <c r="J92" s="45">
        <f>3</f>
        <v>3</v>
      </c>
      <c r="K92" s="45">
        <f>4</f>
        <v>4</v>
      </c>
      <c r="L92" s="45">
        <f>4</f>
        <v>4</v>
      </c>
      <c r="M92" s="45">
        <f>5</f>
        <v>5</v>
      </c>
      <c r="N92" s="45">
        <f>5</f>
        <v>5</v>
      </c>
      <c r="O92" s="45">
        <f>5</f>
        <v>5</v>
      </c>
      <c r="P92" s="45">
        <f>5</f>
        <v>5</v>
      </c>
      <c r="Q92" s="45">
        <f>5</f>
        <v>5</v>
      </c>
    </row>
    <row r="93" spans="1:17" s="13" customFormat="1" ht="33.75" customHeight="1" x14ac:dyDescent="0.25">
      <c r="A93" s="318"/>
      <c r="B93" s="333"/>
      <c r="C93" s="50" t="s">
        <v>694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95"/>
      <c r="Q93" s="95"/>
    </row>
    <row r="94" spans="1:17" s="13" customFormat="1" ht="18" customHeight="1" x14ac:dyDescent="0.25">
      <c r="A94" s="318"/>
      <c r="B94" s="333" t="s">
        <v>695</v>
      </c>
      <c r="C94" s="50" t="s">
        <v>693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95"/>
      <c r="Q94" s="95"/>
    </row>
    <row r="95" spans="1:17" s="13" customFormat="1" ht="16.5" customHeight="1" x14ac:dyDescent="0.25">
      <c r="A95" s="318"/>
      <c r="B95" s="333"/>
      <c r="C95" s="50" t="s">
        <v>624</v>
      </c>
      <c r="D95" s="45"/>
      <c r="E95" s="45">
        <f>2</f>
        <v>2</v>
      </c>
      <c r="F95" s="45">
        <f>1</f>
        <v>1</v>
      </c>
      <c r="G95" s="45"/>
      <c r="H95" s="45">
        <f>2</f>
        <v>2</v>
      </c>
      <c r="I95" s="45"/>
      <c r="J95" s="45"/>
      <c r="K95" s="45">
        <f>2</f>
        <v>2</v>
      </c>
      <c r="L95" s="45"/>
      <c r="M95" s="45">
        <f>2</f>
        <v>2</v>
      </c>
      <c r="N95" s="45"/>
      <c r="O95" s="45">
        <f>2</f>
        <v>2</v>
      </c>
      <c r="P95" s="95"/>
      <c r="Q95" s="95">
        <f>2</f>
        <v>2</v>
      </c>
    </row>
    <row r="96" spans="1:17" s="13" customFormat="1" ht="59.25" customHeight="1" x14ac:dyDescent="0.25">
      <c r="A96" s="318"/>
      <c r="B96" s="333"/>
      <c r="C96" s="50" t="s">
        <v>688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95"/>
      <c r="Q96" s="95"/>
    </row>
    <row r="97" spans="1:17" s="13" customFormat="1" ht="30.75" customHeight="1" x14ac:dyDescent="0.25">
      <c r="A97" s="318"/>
      <c r="B97" s="333"/>
      <c r="C97" s="50" t="s">
        <v>609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95"/>
      <c r="Q97" s="95"/>
    </row>
    <row r="98" spans="1:17" s="13" customFormat="1" ht="15" customHeight="1" x14ac:dyDescent="0.25">
      <c r="A98" s="315"/>
      <c r="B98" s="333"/>
      <c r="C98" s="50" t="s">
        <v>696</v>
      </c>
      <c r="D98" s="45"/>
      <c r="E98" s="45">
        <f>1</f>
        <v>1</v>
      </c>
      <c r="F98" s="45">
        <f>1</f>
        <v>1</v>
      </c>
      <c r="G98" s="45"/>
      <c r="H98" s="45">
        <f>2</f>
        <v>2</v>
      </c>
      <c r="I98" s="45"/>
      <c r="J98" s="45"/>
      <c r="K98" s="45">
        <f>2</f>
        <v>2</v>
      </c>
      <c r="L98" s="45"/>
      <c r="M98" s="45">
        <f>2</f>
        <v>2</v>
      </c>
      <c r="N98" s="45"/>
      <c r="O98" s="45">
        <f>2</f>
        <v>2</v>
      </c>
      <c r="P98" s="95"/>
      <c r="Q98" s="95">
        <f>2</f>
        <v>2</v>
      </c>
    </row>
    <row r="99" spans="1:17" s="13" customFormat="1" ht="59.25" customHeight="1" x14ac:dyDescent="0.25">
      <c r="A99" s="170" t="s">
        <v>915</v>
      </c>
      <c r="B99" s="169" t="s">
        <v>914</v>
      </c>
      <c r="C99" s="50" t="s">
        <v>932</v>
      </c>
      <c r="D99" s="45"/>
      <c r="E99" s="45">
        <f>1+1</f>
        <v>2</v>
      </c>
      <c r="F99" s="45">
        <f>1</f>
        <v>1</v>
      </c>
      <c r="G99" s="45">
        <f>1+1</f>
        <v>2</v>
      </c>
      <c r="H99" s="45">
        <f>1</f>
        <v>1</v>
      </c>
      <c r="I99" s="45">
        <f>1</f>
        <v>1</v>
      </c>
      <c r="J99" s="45">
        <f>1</f>
        <v>1</v>
      </c>
      <c r="K99" s="45">
        <f>1</f>
        <v>1</v>
      </c>
      <c r="L99" s="45">
        <f>1+1</f>
        <v>2</v>
      </c>
      <c r="M99" s="45">
        <f>1</f>
        <v>1</v>
      </c>
      <c r="N99" s="45">
        <f>1</f>
        <v>1</v>
      </c>
      <c r="O99" s="45">
        <f>1</f>
        <v>1</v>
      </c>
      <c r="P99" s="45">
        <f>1</f>
        <v>1</v>
      </c>
      <c r="Q99" s="45">
        <f>1</f>
        <v>1</v>
      </c>
    </row>
    <row r="100" spans="1:17" s="13" customFormat="1" ht="90.75" customHeight="1" x14ac:dyDescent="0.25">
      <c r="A100" s="170" t="s">
        <v>916</v>
      </c>
      <c r="B100" s="169" t="s">
        <v>697</v>
      </c>
      <c r="C100" s="50" t="s">
        <v>917</v>
      </c>
      <c r="D100" s="45">
        <f>2</f>
        <v>2</v>
      </c>
      <c r="E100" s="45">
        <f>1+4</f>
        <v>5</v>
      </c>
      <c r="F100" s="45">
        <f>1+2</f>
        <v>3</v>
      </c>
      <c r="G100" s="45">
        <f t="shared" ref="G100:Q100" si="2">1+2</f>
        <v>3</v>
      </c>
      <c r="H100" s="45">
        <f t="shared" si="2"/>
        <v>3</v>
      </c>
      <c r="I100" s="45">
        <f t="shared" si="2"/>
        <v>3</v>
      </c>
      <c r="J100" s="45">
        <f t="shared" si="2"/>
        <v>3</v>
      </c>
      <c r="K100" s="45">
        <f t="shared" si="2"/>
        <v>3</v>
      </c>
      <c r="L100" s="45">
        <f t="shared" si="2"/>
        <v>3</v>
      </c>
      <c r="M100" s="45">
        <f t="shared" si="2"/>
        <v>3</v>
      </c>
      <c r="N100" s="45">
        <f t="shared" si="2"/>
        <v>3</v>
      </c>
      <c r="O100" s="45">
        <f t="shared" si="2"/>
        <v>3</v>
      </c>
      <c r="P100" s="45">
        <f t="shared" si="2"/>
        <v>3</v>
      </c>
      <c r="Q100" s="45">
        <f t="shared" si="2"/>
        <v>3</v>
      </c>
    </row>
    <row r="101" spans="1:17" s="13" customFormat="1" ht="30" customHeight="1" x14ac:dyDescent="0.25">
      <c r="A101" s="170" t="s">
        <v>924</v>
      </c>
      <c r="B101" s="169" t="s">
        <v>923</v>
      </c>
      <c r="C101" s="50" t="s">
        <v>925</v>
      </c>
      <c r="D101" s="45">
        <f>2</f>
        <v>2</v>
      </c>
      <c r="E101" s="45">
        <f>2</f>
        <v>2</v>
      </c>
      <c r="F101" s="45">
        <f>2</f>
        <v>2</v>
      </c>
      <c r="G101" s="45">
        <f>2</f>
        <v>2</v>
      </c>
      <c r="H101" s="45">
        <f>2</f>
        <v>2</v>
      </c>
      <c r="I101" s="45">
        <f>2</f>
        <v>2</v>
      </c>
      <c r="J101" s="45">
        <f>2</f>
        <v>2</v>
      </c>
      <c r="K101" s="45">
        <f>2</f>
        <v>2</v>
      </c>
      <c r="L101" s="45">
        <f>2</f>
        <v>2</v>
      </c>
      <c r="M101" s="45">
        <f>2</f>
        <v>2</v>
      </c>
      <c r="N101" s="45">
        <f>2</f>
        <v>2</v>
      </c>
      <c r="O101" s="45">
        <f>2</f>
        <v>2</v>
      </c>
      <c r="P101" s="45">
        <f>2</f>
        <v>2</v>
      </c>
      <c r="Q101" s="45">
        <f>2</f>
        <v>2</v>
      </c>
    </row>
    <row r="102" spans="1:17" s="13" customFormat="1" ht="77.25" customHeight="1" x14ac:dyDescent="0.25">
      <c r="A102" s="170" t="s">
        <v>919</v>
      </c>
      <c r="B102" s="169" t="s">
        <v>918</v>
      </c>
      <c r="C102" s="50" t="s">
        <v>920</v>
      </c>
      <c r="D102" s="45">
        <f>2</f>
        <v>2</v>
      </c>
      <c r="E102" s="45">
        <f>2+2+2</f>
        <v>6</v>
      </c>
      <c r="F102" s="45">
        <f>2+3+2</f>
        <v>7</v>
      </c>
      <c r="G102" s="45">
        <f>2+2+2</f>
        <v>6</v>
      </c>
      <c r="H102" s="45">
        <f>2+1+2</f>
        <v>5</v>
      </c>
      <c r="I102" s="45">
        <f>2+2+2</f>
        <v>6</v>
      </c>
      <c r="J102" s="45">
        <f>2+2+2</f>
        <v>6</v>
      </c>
      <c r="K102" s="45">
        <f>2+1+2</f>
        <v>5</v>
      </c>
      <c r="L102" s="45">
        <f>2+3+1</f>
        <v>6</v>
      </c>
      <c r="M102" s="45">
        <f>2+1+2</f>
        <v>5</v>
      </c>
      <c r="N102" s="45">
        <f>2+1+2</f>
        <v>5</v>
      </c>
      <c r="O102" s="45">
        <f>2+1+1</f>
        <v>4</v>
      </c>
      <c r="P102" s="45">
        <f>2+1+1</f>
        <v>4</v>
      </c>
      <c r="Q102" s="45">
        <f>2+2+1</f>
        <v>5</v>
      </c>
    </row>
    <row r="103" spans="1:17" s="13" customFormat="1" ht="29.25" customHeight="1" x14ac:dyDescent="0.25">
      <c r="A103" s="314" t="s">
        <v>922</v>
      </c>
      <c r="B103" s="316" t="s">
        <v>921</v>
      </c>
      <c r="C103" s="50" t="s">
        <v>698</v>
      </c>
      <c r="D103" s="45"/>
      <c r="E103" s="45">
        <f>2</f>
        <v>2</v>
      </c>
      <c r="F103" s="45">
        <f>2</f>
        <v>2</v>
      </c>
      <c r="G103" s="45">
        <f>1</f>
        <v>1</v>
      </c>
      <c r="H103" s="45">
        <f>2</f>
        <v>2</v>
      </c>
      <c r="I103" s="45">
        <f>2</f>
        <v>2</v>
      </c>
      <c r="J103" s="45">
        <f>2</f>
        <v>2</v>
      </c>
      <c r="K103" s="45">
        <f>2</f>
        <v>2</v>
      </c>
      <c r="L103" s="45">
        <f>2</f>
        <v>2</v>
      </c>
      <c r="M103" s="45">
        <f>2</f>
        <v>2</v>
      </c>
      <c r="N103" s="45">
        <f>1</f>
        <v>1</v>
      </c>
      <c r="O103" s="45">
        <f>3</f>
        <v>3</v>
      </c>
      <c r="P103" s="45">
        <f>1</f>
        <v>1</v>
      </c>
      <c r="Q103" s="95">
        <f>3</f>
        <v>3</v>
      </c>
    </row>
    <row r="104" spans="1:17" s="13" customFormat="1" ht="29.25" customHeight="1" x14ac:dyDescent="0.25">
      <c r="A104" s="315"/>
      <c r="B104" s="317"/>
      <c r="C104" s="50" t="s">
        <v>699</v>
      </c>
      <c r="D104" s="45"/>
      <c r="E104" s="45">
        <f>3</f>
        <v>3</v>
      </c>
      <c r="F104" s="45">
        <f>3</f>
        <v>3</v>
      </c>
      <c r="G104" s="45">
        <f>1</f>
        <v>1</v>
      </c>
      <c r="H104" s="45">
        <f>1</f>
        <v>1</v>
      </c>
      <c r="I104" s="45">
        <f>2</f>
        <v>2</v>
      </c>
      <c r="J104" s="45">
        <f>1</f>
        <v>1</v>
      </c>
      <c r="K104" s="45">
        <f>2</f>
        <v>2</v>
      </c>
      <c r="L104" s="45">
        <f>2</f>
        <v>2</v>
      </c>
      <c r="M104" s="45">
        <f>2</f>
        <v>2</v>
      </c>
      <c r="N104" s="45">
        <f>2</f>
        <v>2</v>
      </c>
      <c r="O104" s="45">
        <f>2</f>
        <v>2</v>
      </c>
      <c r="P104" s="45">
        <f>2</f>
        <v>2</v>
      </c>
      <c r="Q104" s="45">
        <f>2</f>
        <v>2</v>
      </c>
    </row>
    <row r="105" spans="1:17" s="13" customFormat="1" ht="15.75" customHeight="1" x14ac:dyDescent="0.25">
      <c r="A105" s="171" t="s">
        <v>930</v>
      </c>
      <c r="B105" s="106" t="s">
        <v>926</v>
      </c>
      <c r="C105" s="50" t="s">
        <v>927</v>
      </c>
      <c r="D105" s="45">
        <f>1</f>
        <v>1</v>
      </c>
      <c r="E105" s="45">
        <f>1</f>
        <v>1</v>
      </c>
      <c r="F105" s="45">
        <f>1</f>
        <v>1</v>
      </c>
      <c r="G105" s="45">
        <f>1</f>
        <v>1</v>
      </c>
      <c r="H105" s="45">
        <f>1</f>
        <v>1</v>
      </c>
      <c r="I105" s="45">
        <f>1</f>
        <v>1</v>
      </c>
      <c r="J105" s="45">
        <f>1</f>
        <v>1</v>
      </c>
      <c r="K105" s="45">
        <f>1</f>
        <v>1</v>
      </c>
      <c r="L105" s="45">
        <f>1</f>
        <v>1</v>
      </c>
      <c r="M105" s="45">
        <f>1</f>
        <v>1</v>
      </c>
      <c r="N105" s="45">
        <f>1</f>
        <v>1</v>
      </c>
      <c r="O105" s="45">
        <f>1</f>
        <v>1</v>
      </c>
      <c r="P105" s="45">
        <f>1</f>
        <v>1</v>
      </c>
      <c r="Q105" s="45">
        <f>1</f>
        <v>1</v>
      </c>
    </row>
    <row r="106" spans="1:17" s="13" customFormat="1" ht="15.75" customHeight="1" x14ac:dyDescent="0.25">
      <c r="A106" s="171"/>
      <c r="B106" s="106"/>
      <c r="C106" s="50" t="s">
        <v>928</v>
      </c>
      <c r="D106" s="45">
        <f>1</f>
        <v>1</v>
      </c>
      <c r="E106" s="45">
        <f>1+1</f>
        <v>2</v>
      </c>
      <c r="F106" s="45">
        <f t="shared" ref="F106:Q106" si="3">1+1</f>
        <v>2</v>
      </c>
      <c r="G106" s="45">
        <f t="shared" si="3"/>
        <v>2</v>
      </c>
      <c r="H106" s="45">
        <f t="shared" si="3"/>
        <v>2</v>
      </c>
      <c r="I106" s="45">
        <f t="shared" si="3"/>
        <v>2</v>
      </c>
      <c r="J106" s="45">
        <f t="shared" si="3"/>
        <v>2</v>
      </c>
      <c r="K106" s="45">
        <f t="shared" si="3"/>
        <v>2</v>
      </c>
      <c r="L106" s="45">
        <f t="shared" si="3"/>
        <v>2</v>
      </c>
      <c r="M106" s="45">
        <f t="shared" si="3"/>
        <v>2</v>
      </c>
      <c r="N106" s="45">
        <f t="shared" si="3"/>
        <v>2</v>
      </c>
      <c r="O106" s="45">
        <f t="shared" si="3"/>
        <v>2</v>
      </c>
      <c r="P106" s="45">
        <f t="shared" si="3"/>
        <v>2</v>
      </c>
      <c r="Q106" s="45">
        <f t="shared" si="3"/>
        <v>2</v>
      </c>
    </row>
    <row r="107" spans="1:17" s="13" customFormat="1" ht="14.25" customHeight="1" x14ac:dyDescent="0.25">
      <c r="A107" s="171"/>
      <c r="B107" s="106"/>
      <c r="C107" s="50" t="s">
        <v>700</v>
      </c>
      <c r="D107" s="45"/>
      <c r="E107" s="45">
        <f>1</f>
        <v>1</v>
      </c>
      <c r="F107" s="45">
        <f>1</f>
        <v>1</v>
      </c>
      <c r="G107" s="45">
        <f>1</f>
        <v>1</v>
      </c>
      <c r="H107" s="45">
        <f>1</f>
        <v>1</v>
      </c>
      <c r="I107" s="45">
        <f>1</f>
        <v>1</v>
      </c>
      <c r="J107" s="45">
        <f>1</f>
        <v>1</v>
      </c>
      <c r="K107" s="45">
        <f>1</f>
        <v>1</v>
      </c>
      <c r="L107" s="45">
        <f>1</f>
        <v>1</v>
      </c>
      <c r="M107" s="45">
        <f>1</f>
        <v>1</v>
      </c>
      <c r="N107" s="45">
        <f>1</f>
        <v>1</v>
      </c>
      <c r="O107" s="45">
        <f>1</f>
        <v>1</v>
      </c>
      <c r="P107" s="45">
        <f>1</f>
        <v>1</v>
      </c>
      <c r="Q107" s="45">
        <f>1</f>
        <v>1</v>
      </c>
    </row>
    <row r="108" spans="1:17" s="13" customFormat="1" ht="16.5" customHeight="1" x14ac:dyDescent="0.25">
      <c r="A108" s="171"/>
      <c r="B108" s="106"/>
      <c r="C108" s="50" t="s">
        <v>929</v>
      </c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</row>
    <row r="109" spans="1:17" ht="16.5" customHeight="1" x14ac:dyDescent="0.2">
      <c r="A109" s="330" t="s">
        <v>701</v>
      </c>
      <c r="B109" s="327" t="s">
        <v>702</v>
      </c>
      <c r="C109" s="107" t="s">
        <v>896</v>
      </c>
      <c r="D109" s="45">
        <f>1</f>
        <v>1</v>
      </c>
      <c r="E109" s="45">
        <f>1+1</f>
        <v>2</v>
      </c>
      <c r="F109" s="45">
        <f t="shared" ref="F109:K109" si="4">1+1</f>
        <v>2</v>
      </c>
      <c r="G109" s="45">
        <f t="shared" si="4"/>
        <v>2</v>
      </c>
      <c r="H109" s="45">
        <f>1</f>
        <v>1</v>
      </c>
      <c r="I109" s="45">
        <f>1</f>
        <v>1</v>
      </c>
      <c r="J109" s="45">
        <f t="shared" si="4"/>
        <v>2</v>
      </c>
      <c r="K109" s="45">
        <f t="shared" si="4"/>
        <v>2</v>
      </c>
      <c r="L109" s="45">
        <f>1</f>
        <v>1</v>
      </c>
      <c r="M109" s="45">
        <f>1</f>
        <v>1</v>
      </c>
      <c r="N109" s="45">
        <f>1+1</f>
        <v>2</v>
      </c>
      <c r="O109" s="45">
        <f>1</f>
        <v>1</v>
      </c>
      <c r="P109" s="45">
        <f>1</f>
        <v>1</v>
      </c>
      <c r="Q109" s="45">
        <f>1+1</f>
        <v>2</v>
      </c>
    </row>
    <row r="110" spans="1:17" ht="15.75" customHeight="1" x14ac:dyDescent="0.2">
      <c r="A110" s="331"/>
      <c r="B110" s="329"/>
      <c r="C110" s="107" t="s">
        <v>895</v>
      </c>
      <c r="D110" s="45">
        <f>1+2</f>
        <v>3</v>
      </c>
      <c r="E110" s="45">
        <f>1+1+2</f>
        <v>4</v>
      </c>
      <c r="F110" s="45">
        <f>1+1+1</f>
        <v>3</v>
      </c>
      <c r="G110" s="45">
        <f t="shared" ref="G110:Q110" si="5">1+1+1</f>
        <v>3</v>
      </c>
      <c r="H110" s="45">
        <f t="shared" si="5"/>
        <v>3</v>
      </c>
      <c r="I110" s="45">
        <f t="shared" si="5"/>
        <v>3</v>
      </c>
      <c r="J110" s="45">
        <f t="shared" si="5"/>
        <v>3</v>
      </c>
      <c r="K110" s="45">
        <f t="shared" si="5"/>
        <v>3</v>
      </c>
      <c r="L110" s="45">
        <f t="shared" si="5"/>
        <v>3</v>
      </c>
      <c r="M110" s="45">
        <f t="shared" si="5"/>
        <v>3</v>
      </c>
      <c r="N110" s="45">
        <f t="shared" si="5"/>
        <v>3</v>
      </c>
      <c r="O110" s="45">
        <f t="shared" si="5"/>
        <v>3</v>
      </c>
      <c r="P110" s="45">
        <f t="shared" si="5"/>
        <v>3</v>
      </c>
      <c r="Q110" s="45">
        <f t="shared" si="5"/>
        <v>3</v>
      </c>
    </row>
    <row r="111" spans="1:17" ht="30" x14ac:dyDescent="0.2">
      <c r="A111" s="308" t="s">
        <v>703</v>
      </c>
      <c r="B111" s="309" t="s">
        <v>704</v>
      </c>
      <c r="C111" s="59" t="s">
        <v>705</v>
      </c>
      <c r="D111" s="95"/>
      <c r="E111" s="95">
        <f>1</f>
        <v>1</v>
      </c>
      <c r="F111" s="95">
        <f>1</f>
        <v>1</v>
      </c>
      <c r="G111" s="95">
        <f>1</f>
        <v>1</v>
      </c>
      <c r="H111" s="95">
        <f>1</f>
        <v>1</v>
      </c>
      <c r="I111" s="95">
        <f>1</f>
        <v>1</v>
      </c>
      <c r="J111" s="95">
        <f>1</f>
        <v>1</v>
      </c>
      <c r="K111" s="95">
        <f>1</f>
        <v>1</v>
      </c>
      <c r="L111" s="95">
        <f>1</f>
        <v>1</v>
      </c>
      <c r="M111" s="95">
        <f>1</f>
        <v>1</v>
      </c>
      <c r="N111" s="95">
        <f>1</f>
        <v>1</v>
      </c>
      <c r="O111" s="95">
        <f>1</f>
        <v>1</v>
      </c>
      <c r="P111" s="95">
        <f>1</f>
        <v>1</v>
      </c>
      <c r="Q111" s="95">
        <f>1</f>
        <v>1</v>
      </c>
    </row>
    <row r="112" spans="1:17" ht="30" x14ac:dyDescent="0.2">
      <c r="A112" s="308"/>
      <c r="B112" s="309"/>
      <c r="C112" s="59" t="s">
        <v>704</v>
      </c>
      <c r="D112" s="95"/>
      <c r="E112" s="95">
        <f>2</f>
        <v>2</v>
      </c>
      <c r="F112" s="95">
        <f>2</f>
        <v>2</v>
      </c>
      <c r="G112" s="95">
        <f>2</f>
        <v>2</v>
      </c>
      <c r="H112" s="95">
        <f>1</f>
        <v>1</v>
      </c>
      <c r="I112" s="95">
        <f>1</f>
        <v>1</v>
      </c>
      <c r="J112" s="95">
        <f>1</f>
        <v>1</v>
      </c>
      <c r="K112" s="95">
        <f>1</f>
        <v>1</v>
      </c>
      <c r="L112" s="95">
        <f>2</f>
        <v>2</v>
      </c>
      <c r="M112" s="95">
        <f>1</f>
        <v>1</v>
      </c>
      <c r="N112" s="95">
        <f>1</f>
        <v>1</v>
      </c>
      <c r="O112" s="95">
        <f>1</f>
        <v>1</v>
      </c>
      <c r="P112" s="95">
        <f>1</f>
        <v>1</v>
      </c>
      <c r="Q112" s="95">
        <f>1</f>
        <v>1</v>
      </c>
    </row>
    <row r="113" spans="1:17" ht="34.5" customHeight="1" x14ac:dyDescent="0.2">
      <c r="A113" s="330" t="s">
        <v>706</v>
      </c>
      <c r="B113" s="327" t="s">
        <v>707</v>
      </c>
      <c r="C113" s="59" t="s">
        <v>898</v>
      </c>
      <c r="D113" s="45">
        <f>1</f>
        <v>1</v>
      </c>
      <c r="E113" s="45">
        <f>1+1+1</f>
        <v>3</v>
      </c>
      <c r="F113" s="45">
        <f t="shared" ref="F113:Q115" si="6">1+1</f>
        <v>2</v>
      </c>
      <c r="G113" s="45">
        <f t="shared" si="6"/>
        <v>2</v>
      </c>
      <c r="H113" s="45">
        <f t="shared" si="6"/>
        <v>2</v>
      </c>
      <c r="I113" s="45">
        <f t="shared" si="6"/>
        <v>2</v>
      </c>
      <c r="J113" s="45">
        <f t="shared" si="6"/>
        <v>2</v>
      </c>
      <c r="K113" s="45">
        <f t="shared" si="6"/>
        <v>2</v>
      </c>
      <c r="L113" s="45">
        <f>1+1+1</f>
        <v>3</v>
      </c>
      <c r="M113" s="45">
        <f t="shared" ref="M113:N113" si="7">1+1+1</f>
        <v>3</v>
      </c>
      <c r="N113" s="45">
        <f t="shared" si="7"/>
        <v>3</v>
      </c>
      <c r="O113" s="45">
        <f>1+1+2</f>
        <v>4</v>
      </c>
      <c r="P113" s="45">
        <f>1+1+2</f>
        <v>4</v>
      </c>
      <c r="Q113" s="45">
        <f t="shared" si="6"/>
        <v>2</v>
      </c>
    </row>
    <row r="114" spans="1:17" ht="30" x14ac:dyDescent="0.2">
      <c r="A114" s="334"/>
      <c r="B114" s="328"/>
      <c r="C114" s="59" t="s">
        <v>899</v>
      </c>
      <c r="D114" s="45">
        <f>1</f>
        <v>1</v>
      </c>
      <c r="E114" s="45">
        <f>1+1</f>
        <v>2</v>
      </c>
      <c r="F114" s="45">
        <f>1+1</f>
        <v>2</v>
      </c>
      <c r="G114" s="45">
        <f>1+1</f>
        <v>2</v>
      </c>
      <c r="H114" s="45">
        <f t="shared" si="6"/>
        <v>2</v>
      </c>
      <c r="I114" s="45">
        <f t="shared" si="6"/>
        <v>2</v>
      </c>
      <c r="J114" s="45">
        <f t="shared" si="6"/>
        <v>2</v>
      </c>
      <c r="K114" s="45">
        <f t="shared" si="6"/>
        <v>2</v>
      </c>
      <c r="L114" s="45">
        <f t="shared" si="6"/>
        <v>2</v>
      </c>
      <c r="M114" s="45">
        <f t="shared" si="6"/>
        <v>2</v>
      </c>
      <c r="N114" s="45">
        <f t="shared" si="6"/>
        <v>2</v>
      </c>
      <c r="O114" s="45">
        <f t="shared" si="6"/>
        <v>2</v>
      </c>
      <c r="P114" s="45">
        <f>11</f>
        <v>11</v>
      </c>
      <c r="Q114" s="45">
        <f t="shared" si="6"/>
        <v>2</v>
      </c>
    </row>
    <row r="115" spans="1:17" ht="15" x14ac:dyDescent="0.2">
      <c r="A115" s="331"/>
      <c r="B115" s="329"/>
      <c r="C115" s="59" t="s">
        <v>897</v>
      </c>
      <c r="D115" s="45">
        <f>1</f>
        <v>1</v>
      </c>
      <c r="E115" s="45">
        <f>2</f>
        <v>2</v>
      </c>
      <c r="F115" s="45">
        <f>1+1</f>
        <v>2</v>
      </c>
      <c r="G115" s="45">
        <f>1+1</f>
        <v>2</v>
      </c>
      <c r="H115" s="45">
        <f t="shared" si="6"/>
        <v>2</v>
      </c>
      <c r="I115" s="45">
        <f t="shared" si="6"/>
        <v>2</v>
      </c>
      <c r="J115" s="45">
        <f t="shared" si="6"/>
        <v>2</v>
      </c>
      <c r="K115" s="45">
        <f t="shared" si="6"/>
        <v>2</v>
      </c>
      <c r="L115" s="45">
        <f t="shared" si="6"/>
        <v>2</v>
      </c>
      <c r="M115" s="45">
        <f t="shared" si="6"/>
        <v>2</v>
      </c>
      <c r="N115" s="45">
        <f t="shared" si="6"/>
        <v>2</v>
      </c>
      <c r="O115" s="45">
        <f t="shared" si="6"/>
        <v>2</v>
      </c>
      <c r="P115" s="45">
        <f>1+2</f>
        <v>3</v>
      </c>
      <c r="Q115" s="45">
        <f t="shared" si="6"/>
        <v>2</v>
      </c>
    </row>
    <row r="116" spans="1:17" ht="48.75" customHeight="1" x14ac:dyDescent="0.2">
      <c r="A116" s="102" t="s">
        <v>708</v>
      </c>
      <c r="B116" s="59" t="s">
        <v>709</v>
      </c>
      <c r="C116" s="59" t="s">
        <v>697</v>
      </c>
      <c r="D116" s="45">
        <f>1+6</f>
        <v>7</v>
      </c>
      <c r="E116" s="45">
        <f>1+7</f>
        <v>8</v>
      </c>
      <c r="F116" s="45">
        <f t="shared" ref="F116:L116" si="8">1+7</f>
        <v>8</v>
      </c>
      <c r="G116" s="45">
        <f t="shared" si="8"/>
        <v>8</v>
      </c>
      <c r="H116" s="45">
        <f t="shared" si="8"/>
        <v>8</v>
      </c>
      <c r="I116" s="45">
        <f t="shared" si="8"/>
        <v>8</v>
      </c>
      <c r="J116" s="45">
        <f t="shared" si="8"/>
        <v>8</v>
      </c>
      <c r="K116" s="45">
        <f t="shared" si="8"/>
        <v>8</v>
      </c>
      <c r="L116" s="45">
        <f t="shared" si="8"/>
        <v>8</v>
      </c>
      <c r="M116" s="45">
        <f>1+8</f>
        <v>9</v>
      </c>
      <c r="N116" s="45">
        <f>1+8</f>
        <v>9</v>
      </c>
      <c r="O116" s="45">
        <f>1+9</f>
        <v>10</v>
      </c>
      <c r="P116" s="45">
        <f>1+10</f>
        <v>11</v>
      </c>
      <c r="Q116" s="45">
        <f>1+10</f>
        <v>11</v>
      </c>
    </row>
    <row r="117" spans="1:17" ht="44.25" customHeight="1" x14ac:dyDescent="0.2">
      <c r="A117" s="330" t="s">
        <v>710</v>
      </c>
      <c r="B117" s="327" t="s">
        <v>698</v>
      </c>
      <c r="C117" s="59" t="s">
        <v>900</v>
      </c>
      <c r="D117" s="45"/>
      <c r="E117" s="45">
        <f>2</f>
        <v>2</v>
      </c>
      <c r="F117" s="45">
        <f>1</f>
        <v>1</v>
      </c>
      <c r="G117" s="45">
        <f>1</f>
        <v>1</v>
      </c>
      <c r="H117" s="45">
        <f>1</f>
        <v>1</v>
      </c>
      <c r="I117" s="45">
        <f>1</f>
        <v>1</v>
      </c>
      <c r="J117" s="45">
        <f>1</f>
        <v>1</v>
      </c>
      <c r="K117" s="45">
        <f>1</f>
        <v>1</v>
      </c>
      <c r="L117" s="45">
        <f>1</f>
        <v>1</v>
      </c>
      <c r="M117" s="45">
        <f>2</f>
        <v>2</v>
      </c>
      <c r="N117" s="45">
        <f>1</f>
        <v>1</v>
      </c>
      <c r="O117" s="45">
        <f>1</f>
        <v>1</v>
      </c>
      <c r="P117" s="45">
        <f>1</f>
        <v>1</v>
      </c>
      <c r="Q117" s="45">
        <f>1</f>
        <v>1</v>
      </c>
    </row>
    <row r="118" spans="1:17" ht="30" x14ac:dyDescent="0.2">
      <c r="A118" s="331"/>
      <c r="B118" s="329"/>
      <c r="C118" s="59" t="s">
        <v>699</v>
      </c>
      <c r="D118" s="45"/>
      <c r="E118" s="45">
        <f>1</f>
        <v>1</v>
      </c>
      <c r="F118" s="45">
        <f>1</f>
        <v>1</v>
      </c>
      <c r="G118" s="45">
        <f>1</f>
        <v>1</v>
      </c>
      <c r="H118" s="45">
        <f>1</f>
        <v>1</v>
      </c>
      <c r="I118" s="45">
        <f>1</f>
        <v>1</v>
      </c>
      <c r="J118" s="45">
        <f>1</f>
        <v>1</v>
      </c>
      <c r="K118" s="45">
        <f>1</f>
        <v>1</v>
      </c>
      <c r="L118" s="45">
        <f>1</f>
        <v>1</v>
      </c>
      <c r="M118" s="45">
        <f>1</f>
        <v>1</v>
      </c>
      <c r="N118" s="45">
        <f>1</f>
        <v>1</v>
      </c>
      <c r="O118" s="45">
        <f>1</f>
        <v>1</v>
      </c>
      <c r="P118" s="45">
        <f>1</f>
        <v>1</v>
      </c>
      <c r="Q118" s="45">
        <f>1</f>
        <v>1</v>
      </c>
    </row>
    <row r="119" spans="1:17" s="11" customFormat="1" ht="18.75" customHeight="1" x14ac:dyDescent="0.2">
      <c r="A119" s="330" t="s">
        <v>711</v>
      </c>
      <c r="B119" s="327" t="s">
        <v>712</v>
      </c>
      <c r="C119" s="59" t="s">
        <v>901</v>
      </c>
      <c r="D119" s="45"/>
      <c r="E119" s="45">
        <f>2</f>
        <v>2</v>
      </c>
      <c r="F119" s="45">
        <f>1</f>
        <v>1</v>
      </c>
      <c r="G119" s="45">
        <f>1</f>
        <v>1</v>
      </c>
      <c r="H119" s="45">
        <f>1</f>
        <v>1</v>
      </c>
      <c r="I119" s="45">
        <f>1</f>
        <v>1</v>
      </c>
      <c r="J119" s="45">
        <f>1</f>
        <v>1</v>
      </c>
      <c r="K119" s="45">
        <f>1</f>
        <v>1</v>
      </c>
      <c r="L119" s="45">
        <f>1</f>
        <v>1</v>
      </c>
      <c r="M119" s="45">
        <f>1</f>
        <v>1</v>
      </c>
      <c r="N119" s="45">
        <f>1</f>
        <v>1</v>
      </c>
      <c r="O119" s="45">
        <f>1</f>
        <v>1</v>
      </c>
      <c r="P119" s="45">
        <f>1</f>
        <v>1</v>
      </c>
      <c r="Q119" s="45">
        <f>1</f>
        <v>1</v>
      </c>
    </row>
    <row r="120" spans="1:17" ht="15" x14ac:dyDescent="0.2">
      <c r="A120" s="334"/>
      <c r="B120" s="328"/>
      <c r="C120" s="59" t="s">
        <v>902</v>
      </c>
      <c r="D120" s="45"/>
      <c r="E120" s="45">
        <f>1</f>
        <v>1</v>
      </c>
      <c r="F120" s="45">
        <f>1</f>
        <v>1</v>
      </c>
      <c r="G120" s="45">
        <f>1</f>
        <v>1</v>
      </c>
      <c r="H120" s="45">
        <f>1</f>
        <v>1</v>
      </c>
      <c r="I120" s="45">
        <f>1</f>
        <v>1</v>
      </c>
      <c r="J120" s="45">
        <f>1</f>
        <v>1</v>
      </c>
      <c r="K120" s="45">
        <f>1</f>
        <v>1</v>
      </c>
      <c r="L120" s="45">
        <f>1</f>
        <v>1</v>
      </c>
      <c r="M120" s="45">
        <f>1</f>
        <v>1</v>
      </c>
      <c r="N120" s="45">
        <f>1</f>
        <v>1</v>
      </c>
      <c r="O120" s="45">
        <f>1</f>
        <v>1</v>
      </c>
      <c r="P120" s="45">
        <f>1</f>
        <v>1</v>
      </c>
      <c r="Q120" s="45">
        <f>1</f>
        <v>1</v>
      </c>
    </row>
    <row r="121" spans="1:17" ht="15" x14ac:dyDescent="0.2">
      <c r="A121" s="331"/>
      <c r="B121" s="329"/>
      <c r="C121" s="59" t="s">
        <v>700</v>
      </c>
      <c r="D121" s="45"/>
      <c r="E121" s="45">
        <f>1</f>
        <v>1</v>
      </c>
      <c r="F121" s="45">
        <f>1</f>
        <v>1</v>
      </c>
      <c r="G121" s="45">
        <f>1</f>
        <v>1</v>
      </c>
      <c r="H121" s="45">
        <f>1</f>
        <v>1</v>
      </c>
      <c r="I121" s="45">
        <f>1</f>
        <v>1</v>
      </c>
      <c r="J121" s="45">
        <f>1</f>
        <v>1</v>
      </c>
      <c r="K121" s="45">
        <f>1</f>
        <v>1</v>
      </c>
      <c r="L121" s="45">
        <f>1</f>
        <v>1</v>
      </c>
      <c r="M121" s="45">
        <f>1</f>
        <v>1</v>
      </c>
      <c r="N121" s="45">
        <f>1</f>
        <v>1</v>
      </c>
      <c r="O121" s="45">
        <f>1</f>
        <v>1</v>
      </c>
      <c r="P121" s="45">
        <f>1</f>
        <v>1</v>
      </c>
      <c r="Q121" s="45">
        <f>1</f>
        <v>1</v>
      </c>
    </row>
    <row r="122" spans="1:17" ht="14.25" customHeight="1" x14ac:dyDescent="0.2">
      <c r="A122" s="330" t="s">
        <v>713</v>
      </c>
      <c r="B122" s="327" t="s">
        <v>714</v>
      </c>
      <c r="C122" s="59" t="s">
        <v>904</v>
      </c>
      <c r="D122" s="45"/>
      <c r="E122" s="45">
        <f>1</f>
        <v>1</v>
      </c>
      <c r="F122" s="45">
        <f>1</f>
        <v>1</v>
      </c>
      <c r="G122" s="45">
        <f>1</f>
        <v>1</v>
      </c>
      <c r="H122" s="45">
        <f>1</f>
        <v>1</v>
      </c>
      <c r="I122" s="45">
        <f>1</f>
        <v>1</v>
      </c>
      <c r="J122" s="45">
        <f>1</f>
        <v>1</v>
      </c>
      <c r="K122" s="45">
        <f>1</f>
        <v>1</v>
      </c>
      <c r="L122" s="45">
        <f>1</f>
        <v>1</v>
      </c>
      <c r="M122" s="45">
        <f>1</f>
        <v>1</v>
      </c>
      <c r="N122" s="45">
        <f>1</f>
        <v>1</v>
      </c>
      <c r="O122" s="45">
        <f>1</f>
        <v>1</v>
      </c>
      <c r="P122" s="45">
        <f>1</f>
        <v>1</v>
      </c>
      <c r="Q122" s="45">
        <f>1</f>
        <v>1</v>
      </c>
    </row>
    <row r="123" spans="1:17" ht="15" x14ac:dyDescent="0.2">
      <c r="A123" s="334"/>
      <c r="B123" s="328"/>
      <c r="C123" s="59" t="s">
        <v>895</v>
      </c>
      <c r="D123" s="45"/>
      <c r="E123" s="45">
        <f>1</f>
        <v>1</v>
      </c>
      <c r="F123" s="45">
        <f>1</f>
        <v>1</v>
      </c>
      <c r="G123" s="45">
        <f>1</f>
        <v>1</v>
      </c>
      <c r="H123" s="45">
        <f>1</f>
        <v>1</v>
      </c>
      <c r="I123" s="45">
        <f>1</f>
        <v>1</v>
      </c>
      <c r="J123" s="45">
        <f>1</f>
        <v>1</v>
      </c>
      <c r="K123" s="45">
        <f>1</f>
        <v>1</v>
      </c>
      <c r="L123" s="45">
        <f>1</f>
        <v>1</v>
      </c>
      <c r="M123" s="45">
        <f>1</f>
        <v>1</v>
      </c>
      <c r="N123" s="45">
        <f>1</f>
        <v>1</v>
      </c>
      <c r="O123" s="45">
        <f>1</f>
        <v>1</v>
      </c>
      <c r="P123" s="45">
        <f>1</f>
        <v>1</v>
      </c>
      <c r="Q123" s="45">
        <f>1</f>
        <v>1</v>
      </c>
    </row>
    <row r="124" spans="1:17" ht="15" x14ac:dyDescent="0.2">
      <c r="A124" s="331"/>
      <c r="B124" s="329"/>
      <c r="C124" s="59" t="s">
        <v>903</v>
      </c>
      <c r="D124" s="75"/>
      <c r="E124" s="75"/>
      <c r="F124" s="75"/>
      <c r="G124" s="100"/>
      <c r="H124" s="75"/>
      <c r="I124" s="75"/>
      <c r="J124" s="75"/>
      <c r="K124" s="75"/>
      <c r="L124" s="75"/>
      <c r="M124" s="75"/>
      <c r="N124" s="75"/>
      <c r="O124" s="75"/>
      <c r="P124" s="108"/>
      <c r="Q124" s="92"/>
    </row>
    <row r="125" spans="1:17" ht="30" x14ac:dyDescent="0.2">
      <c r="A125" s="308" t="s">
        <v>715</v>
      </c>
      <c r="B125" s="309" t="s">
        <v>716</v>
      </c>
      <c r="C125" s="59" t="s">
        <v>1124</v>
      </c>
      <c r="D125" s="45">
        <f>1</f>
        <v>1</v>
      </c>
      <c r="E125" s="45">
        <f>1+1</f>
        <v>2</v>
      </c>
      <c r="F125" s="45">
        <f t="shared" ref="F125:Q125" si="9">1+1</f>
        <v>2</v>
      </c>
      <c r="G125" s="45">
        <f t="shared" si="9"/>
        <v>2</v>
      </c>
      <c r="H125" s="45">
        <f t="shared" si="9"/>
        <v>2</v>
      </c>
      <c r="I125" s="45">
        <f t="shared" si="9"/>
        <v>2</v>
      </c>
      <c r="J125" s="45">
        <f t="shared" si="9"/>
        <v>2</v>
      </c>
      <c r="K125" s="45">
        <f t="shared" si="9"/>
        <v>2</v>
      </c>
      <c r="L125" s="45">
        <f t="shared" si="9"/>
        <v>2</v>
      </c>
      <c r="M125" s="45">
        <f t="shared" si="9"/>
        <v>2</v>
      </c>
      <c r="N125" s="45">
        <f t="shared" si="9"/>
        <v>2</v>
      </c>
      <c r="O125" s="45">
        <f t="shared" si="9"/>
        <v>2</v>
      </c>
      <c r="P125" s="45">
        <f t="shared" si="9"/>
        <v>2</v>
      </c>
      <c r="Q125" s="45">
        <f t="shared" si="9"/>
        <v>2</v>
      </c>
    </row>
    <row r="126" spans="1:17" ht="15" x14ac:dyDescent="0.2">
      <c r="A126" s="308"/>
      <c r="B126" s="309"/>
      <c r="C126" s="59" t="s">
        <v>897</v>
      </c>
      <c r="D126" s="45"/>
      <c r="E126" s="45">
        <f>1</f>
        <v>1</v>
      </c>
      <c r="F126" s="45">
        <f>1</f>
        <v>1</v>
      </c>
      <c r="G126" s="45">
        <f>1</f>
        <v>1</v>
      </c>
      <c r="H126" s="45">
        <f>1</f>
        <v>1</v>
      </c>
      <c r="I126" s="45">
        <f>1</f>
        <v>1</v>
      </c>
      <c r="J126" s="45">
        <f>1</f>
        <v>1</v>
      </c>
      <c r="K126" s="45">
        <f>1</f>
        <v>1</v>
      </c>
      <c r="L126" s="45">
        <f>1</f>
        <v>1</v>
      </c>
      <c r="M126" s="45">
        <f>1</f>
        <v>1</v>
      </c>
      <c r="N126" s="45">
        <f>1</f>
        <v>1</v>
      </c>
      <c r="O126" s="45">
        <f>1</f>
        <v>1</v>
      </c>
      <c r="P126" s="45">
        <f>1</f>
        <v>1</v>
      </c>
      <c r="Q126" s="45">
        <f>1</f>
        <v>1</v>
      </c>
    </row>
    <row r="127" spans="1:17" ht="29.25" customHeight="1" x14ac:dyDescent="0.2">
      <c r="A127" s="308"/>
      <c r="B127" s="309"/>
      <c r="C127" s="59" t="s">
        <v>899</v>
      </c>
      <c r="D127" s="45">
        <f>1</f>
        <v>1</v>
      </c>
      <c r="E127" s="45">
        <f>1+1</f>
        <v>2</v>
      </c>
      <c r="F127" s="45">
        <f t="shared" ref="F127:Q127" si="10">1+1</f>
        <v>2</v>
      </c>
      <c r="G127" s="45">
        <f t="shared" si="10"/>
        <v>2</v>
      </c>
      <c r="H127" s="45">
        <f t="shared" si="10"/>
        <v>2</v>
      </c>
      <c r="I127" s="45">
        <f t="shared" si="10"/>
        <v>2</v>
      </c>
      <c r="J127" s="45">
        <f t="shared" si="10"/>
        <v>2</v>
      </c>
      <c r="K127" s="45">
        <f t="shared" si="10"/>
        <v>2</v>
      </c>
      <c r="L127" s="45">
        <f t="shared" si="10"/>
        <v>2</v>
      </c>
      <c r="M127" s="45">
        <f t="shared" si="10"/>
        <v>2</v>
      </c>
      <c r="N127" s="45">
        <f t="shared" si="10"/>
        <v>2</v>
      </c>
      <c r="O127" s="45">
        <f t="shared" si="10"/>
        <v>2</v>
      </c>
      <c r="P127" s="45">
        <f t="shared" si="10"/>
        <v>2</v>
      </c>
      <c r="Q127" s="45">
        <f t="shared" si="10"/>
        <v>2</v>
      </c>
    </row>
    <row r="128" spans="1:17" ht="15" x14ac:dyDescent="0.2">
      <c r="A128" s="9" t="s">
        <v>107</v>
      </c>
      <c r="B128" s="312" t="s">
        <v>108</v>
      </c>
      <c r="C128" s="313"/>
      <c r="D128" s="75"/>
      <c r="E128" s="75"/>
      <c r="F128" s="75"/>
      <c r="G128" s="100"/>
      <c r="H128" s="75"/>
      <c r="I128" s="75"/>
      <c r="J128" s="75"/>
      <c r="K128" s="75"/>
      <c r="L128" s="75"/>
      <c r="M128" s="75"/>
      <c r="N128" s="75"/>
      <c r="O128" s="75"/>
      <c r="P128" s="75"/>
      <c r="Q128" s="75"/>
    </row>
    <row r="129" spans="1:17" ht="45" x14ac:dyDescent="0.2">
      <c r="A129" s="102" t="s">
        <v>717</v>
      </c>
      <c r="B129" s="9" t="s">
        <v>718</v>
      </c>
      <c r="C129" s="59" t="s">
        <v>718</v>
      </c>
      <c r="D129" s="45">
        <f>2</f>
        <v>2</v>
      </c>
      <c r="E129" s="45">
        <f>2</f>
        <v>2</v>
      </c>
      <c r="F129" s="45">
        <f>2</f>
        <v>2</v>
      </c>
      <c r="G129" s="45">
        <f>2</f>
        <v>2</v>
      </c>
      <c r="H129" s="45">
        <f>2</f>
        <v>2</v>
      </c>
      <c r="I129" s="45">
        <f>2</f>
        <v>2</v>
      </c>
      <c r="J129" s="45">
        <f>2</f>
        <v>2</v>
      </c>
      <c r="K129" s="45">
        <f>2</f>
        <v>2</v>
      </c>
      <c r="L129" s="45">
        <f>2</f>
        <v>2</v>
      </c>
      <c r="M129" s="45">
        <f>2</f>
        <v>2</v>
      </c>
      <c r="N129" s="45">
        <f>2</f>
        <v>2</v>
      </c>
      <c r="O129" s="45">
        <f>2</f>
        <v>2</v>
      </c>
      <c r="P129" s="45">
        <f>2</f>
        <v>2</v>
      </c>
      <c r="Q129" s="45">
        <f>2</f>
        <v>2</v>
      </c>
    </row>
    <row r="130" spans="1:17" ht="15" x14ac:dyDescent="0.2">
      <c r="A130" s="314" t="s">
        <v>905</v>
      </c>
      <c r="B130" s="354" t="s">
        <v>906</v>
      </c>
      <c r="C130" s="50" t="s">
        <v>907</v>
      </c>
      <c r="D130" s="45">
        <f>1</f>
        <v>1</v>
      </c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</row>
    <row r="131" spans="1:17" ht="32.25" customHeight="1" x14ac:dyDescent="0.2">
      <c r="A131" s="315"/>
      <c r="B131" s="355"/>
      <c r="C131" s="50" t="s">
        <v>908</v>
      </c>
      <c r="D131" s="45">
        <f>2</f>
        <v>2</v>
      </c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</row>
    <row r="132" spans="1:17" ht="15" x14ac:dyDescent="0.2">
      <c r="A132" s="308" t="s">
        <v>719</v>
      </c>
      <c r="B132" s="310" t="s">
        <v>720</v>
      </c>
      <c r="C132" s="103" t="s">
        <v>721</v>
      </c>
      <c r="D132" s="95">
        <f>10</f>
        <v>10</v>
      </c>
      <c r="E132" s="95">
        <f>20</f>
        <v>20</v>
      </c>
      <c r="F132" s="95">
        <f>20</f>
        <v>20</v>
      </c>
      <c r="G132" s="95">
        <f>20</f>
        <v>20</v>
      </c>
      <c r="H132" s="95">
        <f>20</f>
        <v>20</v>
      </c>
      <c r="I132" s="95">
        <f>20</f>
        <v>20</v>
      </c>
      <c r="J132" s="95">
        <f>20</f>
        <v>20</v>
      </c>
      <c r="K132" s="95">
        <f>20</f>
        <v>20</v>
      </c>
      <c r="L132" s="95">
        <f>20</f>
        <v>20</v>
      </c>
      <c r="M132" s="95">
        <f>20</f>
        <v>20</v>
      </c>
      <c r="N132" s="95">
        <f>20</f>
        <v>20</v>
      </c>
      <c r="O132" s="95">
        <f>20</f>
        <v>20</v>
      </c>
      <c r="P132" s="95">
        <f>20</f>
        <v>20</v>
      </c>
      <c r="Q132" s="95">
        <f>20</f>
        <v>20</v>
      </c>
    </row>
    <row r="133" spans="1:17" ht="45" x14ac:dyDescent="0.2">
      <c r="A133" s="308"/>
      <c r="B133" s="310"/>
      <c r="C133" s="9" t="s">
        <v>722</v>
      </c>
      <c r="D133" s="45">
        <f>20</f>
        <v>20</v>
      </c>
      <c r="E133" s="45">
        <f>30</f>
        <v>30</v>
      </c>
      <c r="F133" s="45">
        <f>30</f>
        <v>30</v>
      </c>
      <c r="G133" s="45">
        <f>30</f>
        <v>30</v>
      </c>
      <c r="H133" s="45">
        <f>30</f>
        <v>30</v>
      </c>
      <c r="I133" s="45">
        <f>30</f>
        <v>30</v>
      </c>
      <c r="J133" s="45">
        <f>30</f>
        <v>30</v>
      </c>
      <c r="K133" s="45">
        <f>30</f>
        <v>30</v>
      </c>
      <c r="L133" s="45">
        <f>30</f>
        <v>30</v>
      </c>
      <c r="M133" s="45">
        <f>30</f>
        <v>30</v>
      </c>
      <c r="N133" s="45">
        <f>30</f>
        <v>30</v>
      </c>
      <c r="O133" s="45">
        <f>30</f>
        <v>30</v>
      </c>
      <c r="P133" s="45">
        <f>30</f>
        <v>30</v>
      </c>
      <c r="Q133" s="45">
        <f>30</f>
        <v>30</v>
      </c>
    </row>
    <row r="134" spans="1:17" ht="45" x14ac:dyDescent="0.2">
      <c r="A134" s="102" t="s">
        <v>723</v>
      </c>
      <c r="B134" s="9" t="s">
        <v>724</v>
      </c>
      <c r="C134" s="59" t="s">
        <v>725</v>
      </c>
      <c r="D134" s="20">
        <f>2</f>
        <v>2</v>
      </c>
      <c r="E134" s="20">
        <f>6</f>
        <v>6</v>
      </c>
      <c r="F134" s="20">
        <f>4</f>
        <v>4</v>
      </c>
      <c r="G134" s="45">
        <f>2</f>
        <v>2</v>
      </c>
      <c r="H134" s="45">
        <f>2</f>
        <v>2</v>
      </c>
      <c r="I134" s="45">
        <f>2</f>
        <v>2</v>
      </c>
      <c r="J134" s="45">
        <f>2</f>
        <v>2</v>
      </c>
      <c r="K134" s="45">
        <f>2</f>
        <v>2</v>
      </c>
      <c r="L134" s="45">
        <f>2</f>
        <v>2</v>
      </c>
      <c r="M134" s="45">
        <f>2</f>
        <v>2</v>
      </c>
      <c r="N134" s="45">
        <f>2</f>
        <v>2</v>
      </c>
      <c r="O134" s="45">
        <f>2</f>
        <v>2</v>
      </c>
      <c r="P134" s="45">
        <f>2</f>
        <v>2</v>
      </c>
      <c r="Q134" s="45">
        <f>2</f>
        <v>2</v>
      </c>
    </row>
    <row r="135" spans="1:17" ht="18" customHeight="1" x14ac:dyDescent="0.2">
      <c r="A135" s="59" t="s">
        <v>34</v>
      </c>
      <c r="B135" s="309" t="s">
        <v>35</v>
      </c>
      <c r="C135" s="309"/>
      <c r="D135" s="75"/>
      <c r="E135" s="75"/>
      <c r="F135" s="75"/>
      <c r="G135" s="100"/>
      <c r="H135" s="75"/>
      <c r="I135" s="75"/>
      <c r="J135" s="75"/>
      <c r="K135" s="75"/>
      <c r="L135" s="75"/>
      <c r="M135" s="75"/>
      <c r="N135" s="75"/>
      <c r="O135" s="75"/>
      <c r="P135" s="92"/>
      <c r="Q135" s="92"/>
    </row>
    <row r="136" spans="1:17" ht="28.5" customHeight="1" x14ac:dyDescent="0.2">
      <c r="A136" s="109" t="s">
        <v>726</v>
      </c>
      <c r="B136" s="59" t="s">
        <v>727</v>
      </c>
      <c r="C136" s="59" t="s">
        <v>728</v>
      </c>
      <c r="D136" s="45">
        <f>2</f>
        <v>2</v>
      </c>
      <c r="E136" s="45">
        <f>2</f>
        <v>2</v>
      </c>
      <c r="F136" s="45">
        <f>2</f>
        <v>2</v>
      </c>
      <c r="G136" s="45">
        <f>2</f>
        <v>2</v>
      </c>
      <c r="H136" s="45">
        <f>2</f>
        <v>2</v>
      </c>
      <c r="I136" s="45">
        <f>2</f>
        <v>2</v>
      </c>
      <c r="J136" s="45">
        <f>2</f>
        <v>2</v>
      </c>
      <c r="K136" s="45">
        <f>2</f>
        <v>2</v>
      </c>
      <c r="L136" s="45">
        <f>2</f>
        <v>2</v>
      </c>
      <c r="M136" s="45">
        <f>2</f>
        <v>2</v>
      </c>
      <c r="N136" s="45">
        <f>2</f>
        <v>2</v>
      </c>
      <c r="O136" s="45">
        <f>2</f>
        <v>2</v>
      </c>
      <c r="P136" s="45">
        <f>2</f>
        <v>2</v>
      </c>
      <c r="Q136" s="45">
        <f>2</f>
        <v>2</v>
      </c>
    </row>
    <row r="137" spans="1:17" ht="166.5" customHeight="1" x14ac:dyDescent="0.2">
      <c r="A137" s="102" t="s">
        <v>729</v>
      </c>
      <c r="B137" s="59" t="s">
        <v>730</v>
      </c>
      <c r="C137" s="59" t="s">
        <v>731</v>
      </c>
      <c r="D137" s="45">
        <f>50</f>
        <v>50</v>
      </c>
      <c r="E137" s="45">
        <f>60</f>
        <v>60</v>
      </c>
      <c r="F137" s="45">
        <f>40</f>
        <v>40</v>
      </c>
      <c r="G137" s="45">
        <f>40</f>
        <v>40</v>
      </c>
      <c r="H137" s="45">
        <f>60</f>
        <v>60</v>
      </c>
      <c r="I137" s="45">
        <f>50</f>
        <v>50</v>
      </c>
      <c r="J137" s="45">
        <f>60</f>
        <v>60</v>
      </c>
      <c r="K137" s="45">
        <f>40</f>
        <v>40</v>
      </c>
      <c r="L137" s="45">
        <f>40</f>
        <v>40</v>
      </c>
      <c r="M137" s="45">
        <f>60</f>
        <v>60</v>
      </c>
      <c r="N137" s="45">
        <f>40</f>
        <v>40</v>
      </c>
      <c r="O137" s="45">
        <f>40</f>
        <v>40</v>
      </c>
      <c r="P137" s="45">
        <f>40</f>
        <v>40</v>
      </c>
      <c r="Q137" s="45">
        <f>40</f>
        <v>40</v>
      </c>
    </row>
    <row r="138" spans="1:17" ht="90.75" customHeight="1" x14ac:dyDescent="0.2">
      <c r="A138" s="107" t="s">
        <v>732</v>
      </c>
      <c r="B138" s="59" t="s">
        <v>733</v>
      </c>
      <c r="C138" s="59" t="s">
        <v>734</v>
      </c>
      <c r="D138" s="45">
        <f>50</f>
        <v>50</v>
      </c>
      <c r="E138" s="75">
        <f>30</f>
        <v>30</v>
      </c>
      <c r="F138" s="75">
        <f>30</f>
        <v>30</v>
      </c>
      <c r="G138" s="100">
        <f>20</f>
        <v>20</v>
      </c>
      <c r="H138" s="75">
        <f>20</f>
        <v>20</v>
      </c>
      <c r="I138" s="75">
        <f>50</f>
        <v>50</v>
      </c>
      <c r="J138" s="75">
        <f>50</f>
        <v>50</v>
      </c>
      <c r="K138" s="75">
        <f>50</f>
        <v>50</v>
      </c>
      <c r="L138" s="75">
        <f>50</f>
        <v>50</v>
      </c>
      <c r="M138" s="75">
        <f>50</f>
        <v>50</v>
      </c>
      <c r="N138" s="75">
        <f>50</f>
        <v>50</v>
      </c>
      <c r="O138" s="75">
        <f>50</f>
        <v>50</v>
      </c>
      <c r="P138" s="75">
        <f>50</f>
        <v>50</v>
      </c>
      <c r="Q138" s="75">
        <f>50</f>
        <v>50</v>
      </c>
    </row>
    <row r="139" spans="1:17" ht="15" x14ac:dyDescent="0.2">
      <c r="A139" s="308" t="s">
        <v>735</v>
      </c>
      <c r="B139" s="309" t="s">
        <v>736</v>
      </c>
      <c r="C139" s="59" t="s">
        <v>737</v>
      </c>
      <c r="D139" s="45">
        <f>10</f>
        <v>10</v>
      </c>
      <c r="E139" s="45">
        <f>5</f>
        <v>5</v>
      </c>
      <c r="F139" s="45">
        <f>12</f>
        <v>12</v>
      </c>
      <c r="G139" s="45">
        <f>5</f>
        <v>5</v>
      </c>
      <c r="H139" s="45">
        <f>5</f>
        <v>5</v>
      </c>
      <c r="I139" s="45">
        <f>5</f>
        <v>5</v>
      </c>
      <c r="J139" s="45">
        <f>5</f>
        <v>5</v>
      </c>
      <c r="K139" s="45">
        <f>5</f>
        <v>5</v>
      </c>
      <c r="L139" s="45">
        <f>5</f>
        <v>5</v>
      </c>
      <c r="M139" s="45">
        <f>5</f>
        <v>5</v>
      </c>
      <c r="N139" s="45">
        <f>5</f>
        <v>5</v>
      </c>
      <c r="O139" s="45">
        <f>5</f>
        <v>5</v>
      </c>
      <c r="P139" s="45">
        <f>5</f>
        <v>5</v>
      </c>
      <c r="Q139" s="45">
        <f>5</f>
        <v>5</v>
      </c>
    </row>
    <row r="140" spans="1:17" ht="15" x14ac:dyDescent="0.2">
      <c r="A140" s="308"/>
      <c r="B140" s="309"/>
      <c r="C140" s="59" t="s">
        <v>738</v>
      </c>
      <c r="D140" s="45">
        <f>10</f>
        <v>10</v>
      </c>
      <c r="E140" s="45">
        <f>5</f>
        <v>5</v>
      </c>
      <c r="F140" s="45">
        <f>12</f>
        <v>12</v>
      </c>
      <c r="G140" s="45">
        <f>5</f>
        <v>5</v>
      </c>
      <c r="H140" s="45">
        <f>5</f>
        <v>5</v>
      </c>
      <c r="I140" s="45">
        <f>5</f>
        <v>5</v>
      </c>
      <c r="J140" s="45">
        <f>5</f>
        <v>5</v>
      </c>
      <c r="K140" s="45">
        <f>5</f>
        <v>5</v>
      </c>
      <c r="L140" s="45">
        <f>5</f>
        <v>5</v>
      </c>
      <c r="M140" s="45">
        <f>5</f>
        <v>5</v>
      </c>
      <c r="N140" s="45">
        <f>5</f>
        <v>5</v>
      </c>
      <c r="O140" s="45">
        <f>5</f>
        <v>5</v>
      </c>
      <c r="P140" s="45">
        <f>5</f>
        <v>5</v>
      </c>
      <c r="Q140" s="45">
        <f>5</f>
        <v>5</v>
      </c>
    </row>
    <row r="141" spans="1:17" ht="15" x14ac:dyDescent="0.2">
      <c r="A141" s="308"/>
      <c r="B141" s="309"/>
      <c r="C141" s="59" t="s">
        <v>739</v>
      </c>
      <c r="D141" s="45">
        <f>10</f>
        <v>10</v>
      </c>
      <c r="E141" s="45">
        <f>5</f>
        <v>5</v>
      </c>
      <c r="F141" s="45">
        <f>12</f>
        <v>12</v>
      </c>
      <c r="G141" s="45">
        <f>5</f>
        <v>5</v>
      </c>
      <c r="H141" s="45">
        <f>5</f>
        <v>5</v>
      </c>
      <c r="I141" s="45">
        <f>5</f>
        <v>5</v>
      </c>
      <c r="J141" s="45">
        <f>5</f>
        <v>5</v>
      </c>
      <c r="K141" s="45">
        <f>5</f>
        <v>5</v>
      </c>
      <c r="L141" s="45">
        <f>5</f>
        <v>5</v>
      </c>
      <c r="M141" s="45">
        <f>5</f>
        <v>5</v>
      </c>
      <c r="N141" s="45">
        <f>5</f>
        <v>5</v>
      </c>
      <c r="O141" s="45">
        <f>5</f>
        <v>5</v>
      </c>
      <c r="P141" s="45">
        <f>5</f>
        <v>5</v>
      </c>
      <c r="Q141" s="45">
        <f>5</f>
        <v>5</v>
      </c>
    </row>
    <row r="142" spans="1:17" ht="30" x14ac:dyDescent="0.2">
      <c r="A142" s="308"/>
      <c r="B142" s="309"/>
      <c r="C142" s="59" t="s">
        <v>740</v>
      </c>
      <c r="D142" s="45">
        <f>10</f>
        <v>10</v>
      </c>
      <c r="E142" s="45">
        <f>5</f>
        <v>5</v>
      </c>
      <c r="F142" s="45">
        <f>14</f>
        <v>14</v>
      </c>
      <c r="G142" s="45">
        <f>5</f>
        <v>5</v>
      </c>
      <c r="H142" s="45">
        <f>5</f>
        <v>5</v>
      </c>
      <c r="I142" s="45">
        <f>5</f>
        <v>5</v>
      </c>
      <c r="J142" s="45">
        <f>5</f>
        <v>5</v>
      </c>
      <c r="K142" s="45">
        <f>5</f>
        <v>5</v>
      </c>
      <c r="L142" s="45">
        <f>5</f>
        <v>5</v>
      </c>
      <c r="M142" s="45">
        <f>5</f>
        <v>5</v>
      </c>
      <c r="N142" s="45">
        <f>5</f>
        <v>5</v>
      </c>
      <c r="O142" s="45">
        <f>5</f>
        <v>5</v>
      </c>
      <c r="P142" s="45">
        <f>5</f>
        <v>5</v>
      </c>
      <c r="Q142" s="45">
        <f>5</f>
        <v>5</v>
      </c>
    </row>
    <row r="143" spans="1:17" ht="45" x14ac:dyDescent="0.2">
      <c r="A143" s="308"/>
      <c r="B143" s="309"/>
      <c r="C143" s="59" t="s">
        <v>741</v>
      </c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95"/>
      <c r="Q143" s="95"/>
    </row>
    <row r="144" spans="1:17" ht="60" x14ac:dyDescent="0.2">
      <c r="A144" s="308"/>
      <c r="B144" s="309"/>
      <c r="C144" s="59" t="s">
        <v>742</v>
      </c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95"/>
      <c r="Q144" s="95"/>
    </row>
    <row r="145" spans="1:17" ht="30" customHeight="1" x14ac:dyDescent="0.2">
      <c r="A145" s="308"/>
      <c r="B145" s="309"/>
      <c r="C145" s="59" t="s">
        <v>743</v>
      </c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95"/>
      <c r="Q145" s="95"/>
    </row>
    <row r="146" spans="1:17" ht="15" x14ac:dyDescent="0.2">
      <c r="A146" s="308"/>
      <c r="B146" s="309"/>
      <c r="C146" s="59" t="s">
        <v>744</v>
      </c>
      <c r="D146" s="45"/>
      <c r="E146" s="45"/>
      <c r="F146" s="45"/>
      <c r="G146" s="45"/>
      <c r="H146" s="45"/>
      <c r="I146" s="20"/>
      <c r="J146" s="45"/>
      <c r="K146" s="45"/>
      <c r="L146" s="45"/>
      <c r="M146" s="45"/>
      <c r="N146" s="45"/>
      <c r="O146" s="45"/>
      <c r="P146" s="95"/>
      <c r="Q146" s="95"/>
    </row>
    <row r="147" spans="1:17" ht="27.75" customHeight="1" x14ac:dyDescent="0.2">
      <c r="A147" s="308" t="s">
        <v>745</v>
      </c>
      <c r="B147" s="309" t="s">
        <v>746</v>
      </c>
      <c r="C147" s="59" t="s">
        <v>747</v>
      </c>
      <c r="D147" s="45">
        <f>6</f>
        <v>6</v>
      </c>
      <c r="E147" s="45">
        <f>6</f>
        <v>6</v>
      </c>
      <c r="F147" s="45">
        <f>6</f>
        <v>6</v>
      </c>
      <c r="G147" s="45">
        <f>6</f>
        <v>6</v>
      </c>
      <c r="H147" s="45">
        <f>6</f>
        <v>6</v>
      </c>
      <c r="I147" s="45">
        <f>6</f>
        <v>6</v>
      </c>
      <c r="J147" s="45">
        <f>6</f>
        <v>6</v>
      </c>
      <c r="K147" s="45">
        <f>6</f>
        <v>6</v>
      </c>
      <c r="L147" s="45">
        <f>6</f>
        <v>6</v>
      </c>
      <c r="M147" s="45">
        <f>6</f>
        <v>6</v>
      </c>
      <c r="N147" s="45">
        <f>6</f>
        <v>6</v>
      </c>
      <c r="O147" s="45">
        <f>6</f>
        <v>6</v>
      </c>
      <c r="P147" s="45">
        <f>6</f>
        <v>6</v>
      </c>
      <c r="Q147" s="45">
        <f>6</f>
        <v>6</v>
      </c>
    </row>
    <row r="148" spans="1:17" ht="30" x14ac:dyDescent="0.2">
      <c r="A148" s="308"/>
      <c r="B148" s="309"/>
      <c r="C148" s="59" t="s">
        <v>746</v>
      </c>
      <c r="D148" s="45">
        <f>6</f>
        <v>6</v>
      </c>
      <c r="E148" s="45">
        <f>6</f>
        <v>6</v>
      </c>
      <c r="F148" s="45">
        <f>6</f>
        <v>6</v>
      </c>
      <c r="G148" s="45">
        <f>6</f>
        <v>6</v>
      </c>
      <c r="H148" s="45">
        <f>6</f>
        <v>6</v>
      </c>
      <c r="I148" s="45">
        <f>6</f>
        <v>6</v>
      </c>
      <c r="J148" s="45">
        <f>6</f>
        <v>6</v>
      </c>
      <c r="K148" s="45">
        <f>6</f>
        <v>6</v>
      </c>
      <c r="L148" s="45">
        <f>6</f>
        <v>6</v>
      </c>
      <c r="M148" s="45">
        <f>6</f>
        <v>6</v>
      </c>
      <c r="N148" s="45">
        <f>6</f>
        <v>6</v>
      </c>
      <c r="O148" s="45">
        <f>6</f>
        <v>6</v>
      </c>
      <c r="P148" s="45">
        <f>6</f>
        <v>6</v>
      </c>
      <c r="Q148" s="45">
        <f>6</f>
        <v>6</v>
      </c>
    </row>
    <row r="149" spans="1:17" ht="15.75" customHeight="1" x14ac:dyDescent="0.2">
      <c r="A149" s="308"/>
      <c r="B149" s="309"/>
      <c r="C149" s="59" t="s">
        <v>748</v>
      </c>
      <c r="D149" s="45">
        <f>8</f>
        <v>8</v>
      </c>
      <c r="E149" s="45">
        <f>8</f>
        <v>8</v>
      </c>
      <c r="F149" s="45">
        <f>8</f>
        <v>8</v>
      </c>
      <c r="G149" s="45">
        <f>8</f>
        <v>8</v>
      </c>
      <c r="H149" s="45">
        <f>8</f>
        <v>8</v>
      </c>
      <c r="I149" s="45">
        <f>8</f>
        <v>8</v>
      </c>
      <c r="J149" s="45">
        <f>8</f>
        <v>8</v>
      </c>
      <c r="K149" s="45">
        <f>8</f>
        <v>8</v>
      </c>
      <c r="L149" s="45">
        <f>8</f>
        <v>8</v>
      </c>
      <c r="M149" s="45">
        <f>8</f>
        <v>8</v>
      </c>
      <c r="N149" s="45">
        <f>8</f>
        <v>8</v>
      </c>
      <c r="O149" s="45">
        <f>8</f>
        <v>8</v>
      </c>
      <c r="P149" s="45">
        <f>8</f>
        <v>8</v>
      </c>
      <c r="Q149" s="45">
        <f>8</f>
        <v>8</v>
      </c>
    </row>
    <row r="150" spans="1:17" ht="45" x14ac:dyDescent="0.2">
      <c r="A150" s="308" t="s">
        <v>749</v>
      </c>
      <c r="B150" s="309" t="s">
        <v>750</v>
      </c>
      <c r="C150" s="59" t="s">
        <v>751</v>
      </c>
      <c r="D150" s="45">
        <f>6</f>
        <v>6</v>
      </c>
      <c r="E150" s="45">
        <f>6</f>
        <v>6</v>
      </c>
      <c r="F150" s="45">
        <f>6</f>
        <v>6</v>
      </c>
      <c r="G150" s="45">
        <f>6</f>
        <v>6</v>
      </c>
      <c r="H150" s="45">
        <f>6</f>
        <v>6</v>
      </c>
      <c r="I150" s="45">
        <f>6</f>
        <v>6</v>
      </c>
      <c r="J150" s="45">
        <f>6</f>
        <v>6</v>
      </c>
      <c r="K150" s="45">
        <f>6</f>
        <v>6</v>
      </c>
      <c r="L150" s="45">
        <f>6</f>
        <v>6</v>
      </c>
      <c r="M150" s="45">
        <f>6</f>
        <v>6</v>
      </c>
      <c r="N150" s="45">
        <f>6</f>
        <v>6</v>
      </c>
      <c r="O150" s="45">
        <f>6</f>
        <v>6</v>
      </c>
      <c r="P150" s="45">
        <f>6</f>
        <v>6</v>
      </c>
      <c r="Q150" s="45">
        <f>6</f>
        <v>6</v>
      </c>
    </row>
    <row r="151" spans="1:17" ht="15" x14ac:dyDescent="0.2">
      <c r="A151" s="308"/>
      <c r="B151" s="309"/>
      <c r="C151" s="59" t="s">
        <v>624</v>
      </c>
      <c r="D151" s="45">
        <f>7</f>
        <v>7</v>
      </c>
      <c r="E151" s="45">
        <f>7</f>
        <v>7</v>
      </c>
      <c r="F151" s="45">
        <f>7</f>
        <v>7</v>
      </c>
      <c r="G151" s="45">
        <f>7</f>
        <v>7</v>
      </c>
      <c r="H151" s="45">
        <f>7</f>
        <v>7</v>
      </c>
      <c r="I151" s="45">
        <f>7</f>
        <v>7</v>
      </c>
      <c r="J151" s="45">
        <f>7</f>
        <v>7</v>
      </c>
      <c r="K151" s="45">
        <f>7</f>
        <v>7</v>
      </c>
      <c r="L151" s="45">
        <f>7</f>
        <v>7</v>
      </c>
      <c r="M151" s="45">
        <f>7</f>
        <v>7</v>
      </c>
      <c r="N151" s="45">
        <f>7</f>
        <v>7</v>
      </c>
      <c r="O151" s="45">
        <f>7</f>
        <v>7</v>
      </c>
      <c r="P151" s="45">
        <f>7</f>
        <v>7</v>
      </c>
      <c r="Q151" s="45">
        <f>7</f>
        <v>7</v>
      </c>
    </row>
    <row r="152" spans="1:17" ht="30" customHeight="1" x14ac:dyDescent="0.2">
      <c r="A152" s="308"/>
      <c r="B152" s="309"/>
      <c r="C152" s="59" t="s">
        <v>752</v>
      </c>
      <c r="D152" s="45">
        <f>7</f>
        <v>7</v>
      </c>
      <c r="E152" s="45">
        <f>7</f>
        <v>7</v>
      </c>
      <c r="F152" s="45">
        <f>7</f>
        <v>7</v>
      </c>
      <c r="G152" s="45">
        <f>7</f>
        <v>7</v>
      </c>
      <c r="H152" s="45">
        <f>7</f>
        <v>7</v>
      </c>
      <c r="I152" s="45">
        <f>7</f>
        <v>7</v>
      </c>
      <c r="J152" s="45">
        <f>7</f>
        <v>7</v>
      </c>
      <c r="K152" s="45">
        <f>7</f>
        <v>7</v>
      </c>
      <c r="L152" s="45">
        <f>7</f>
        <v>7</v>
      </c>
      <c r="M152" s="45">
        <f>7</f>
        <v>7</v>
      </c>
      <c r="N152" s="45">
        <f>7</f>
        <v>7</v>
      </c>
      <c r="O152" s="45">
        <f>7</f>
        <v>7</v>
      </c>
      <c r="P152" s="45">
        <f>7</f>
        <v>7</v>
      </c>
      <c r="Q152" s="45">
        <f>7</f>
        <v>7</v>
      </c>
    </row>
    <row r="153" spans="1:17" ht="30" customHeight="1" x14ac:dyDescent="0.2">
      <c r="A153" s="330" t="s">
        <v>753</v>
      </c>
      <c r="B153" s="327" t="s">
        <v>754</v>
      </c>
      <c r="C153" s="59" t="s">
        <v>1148</v>
      </c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</row>
    <row r="154" spans="1:17" ht="62.25" customHeight="1" x14ac:dyDescent="0.2">
      <c r="A154" s="331"/>
      <c r="B154" s="329"/>
      <c r="C154" s="59" t="s">
        <v>1149</v>
      </c>
      <c r="D154" s="75">
        <f>10</f>
        <v>10</v>
      </c>
      <c r="E154" s="75">
        <f>10</f>
        <v>10</v>
      </c>
      <c r="F154" s="75">
        <f>10</f>
        <v>10</v>
      </c>
      <c r="G154" s="75">
        <f>10</f>
        <v>10</v>
      </c>
      <c r="H154" s="75">
        <f>10</f>
        <v>10</v>
      </c>
      <c r="I154" s="75">
        <f>10</f>
        <v>10</v>
      </c>
      <c r="J154" s="75">
        <f>10</f>
        <v>10</v>
      </c>
      <c r="K154" s="75">
        <f>10</f>
        <v>10</v>
      </c>
      <c r="L154" s="75">
        <f>10</f>
        <v>10</v>
      </c>
      <c r="M154" s="75">
        <f>10</f>
        <v>10</v>
      </c>
      <c r="N154" s="75">
        <f>10</f>
        <v>10</v>
      </c>
      <c r="O154" s="75">
        <f>10</f>
        <v>10</v>
      </c>
      <c r="P154" s="75">
        <f>10</f>
        <v>10</v>
      </c>
      <c r="Q154" s="75">
        <f>10</f>
        <v>10</v>
      </c>
    </row>
    <row r="155" spans="1:17" ht="45" x14ac:dyDescent="0.2">
      <c r="A155" s="102" t="s">
        <v>755</v>
      </c>
      <c r="B155" s="59" t="s">
        <v>756</v>
      </c>
      <c r="C155" s="9" t="s">
        <v>752</v>
      </c>
      <c r="D155" s="92">
        <f>25</f>
        <v>25</v>
      </c>
      <c r="E155" s="92">
        <f>20</f>
        <v>20</v>
      </c>
      <c r="F155" s="92">
        <f>15</f>
        <v>15</v>
      </c>
      <c r="G155" s="92">
        <f>15</f>
        <v>15</v>
      </c>
      <c r="H155" s="92">
        <f>12</f>
        <v>12</v>
      </c>
      <c r="I155" s="92">
        <f>15</f>
        <v>15</v>
      </c>
      <c r="J155" s="92">
        <f>15</f>
        <v>15</v>
      </c>
      <c r="K155" s="92">
        <f>15</f>
        <v>15</v>
      </c>
      <c r="L155" s="92">
        <f>15</f>
        <v>15</v>
      </c>
      <c r="M155" s="92">
        <f>15</f>
        <v>15</v>
      </c>
      <c r="N155" s="92">
        <f>15</f>
        <v>15</v>
      </c>
      <c r="O155" s="92">
        <f>15</f>
        <v>15</v>
      </c>
      <c r="P155" s="92">
        <f>15</f>
        <v>15</v>
      </c>
      <c r="Q155" s="92">
        <f>15</f>
        <v>15</v>
      </c>
    </row>
    <row r="156" spans="1:17" ht="15" x14ac:dyDescent="0.2">
      <c r="A156" s="102" t="s">
        <v>357</v>
      </c>
      <c r="B156" s="309" t="s">
        <v>358</v>
      </c>
      <c r="C156" s="309"/>
      <c r="D156" s="75"/>
      <c r="E156" s="75"/>
      <c r="F156" s="75"/>
      <c r="G156" s="100"/>
      <c r="H156" s="75"/>
      <c r="I156" s="75"/>
      <c r="J156" s="75"/>
      <c r="K156" s="75"/>
      <c r="L156" s="75"/>
      <c r="M156" s="75"/>
      <c r="N156" s="75"/>
      <c r="O156" s="75"/>
      <c r="P156" s="92"/>
      <c r="Q156" s="92"/>
    </row>
    <row r="157" spans="1:17" ht="75" x14ac:dyDescent="0.2">
      <c r="A157" s="102" t="s">
        <v>757</v>
      </c>
      <c r="B157" s="59" t="s">
        <v>758</v>
      </c>
      <c r="C157" s="59" t="s">
        <v>909</v>
      </c>
      <c r="D157" s="110">
        <f>20</f>
        <v>20</v>
      </c>
      <c r="E157" s="110">
        <f>20</f>
        <v>20</v>
      </c>
      <c r="F157" s="110">
        <f>20</f>
        <v>20</v>
      </c>
      <c r="G157" s="110">
        <f>20</f>
        <v>20</v>
      </c>
      <c r="H157" s="110">
        <f>20</f>
        <v>20</v>
      </c>
      <c r="I157" s="110">
        <f>20</f>
        <v>20</v>
      </c>
      <c r="J157" s="110">
        <f>20</f>
        <v>20</v>
      </c>
      <c r="K157" s="110">
        <f>20</f>
        <v>20</v>
      </c>
      <c r="L157" s="110">
        <f>20</f>
        <v>20</v>
      </c>
      <c r="M157" s="110">
        <f>20</f>
        <v>20</v>
      </c>
      <c r="N157" s="110">
        <f>20</f>
        <v>20</v>
      </c>
      <c r="O157" s="110">
        <f>20</f>
        <v>20</v>
      </c>
      <c r="P157" s="110">
        <f>20</f>
        <v>20</v>
      </c>
      <c r="Q157" s="110">
        <f>20</f>
        <v>20</v>
      </c>
    </row>
    <row r="158" spans="1:17" ht="57.75" customHeight="1" x14ac:dyDescent="0.2">
      <c r="A158" s="102" t="s">
        <v>759</v>
      </c>
      <c r="B158" s="59" t="s">
        <v>760</v>
      </c>
      <c r="C158" s="59" t="s">
        <v>761</v>
      </c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</row>
    <row r="159" spans="1:17" ht="30" x14ac:dyDescent="0.2">
      <c r="A159" s="102" t="s">
        <v>762</v>
      </c>
      <c r="B159" s="59" t="s">
        <v>763</v>
      </c>
      <c r="C159" s="59" t="s">
        <v>764</v>
      </c>
      <c r="D159" s="110">
        <f>20</f>
        <v>20</v>
      </c>
      <c r="E159" s="110">
        <f>20</f>
        <v>20</v>
      </c>
      <c r="F159" s="110">
        <f>20</f>
        <v>20</v>
      </c>
      <c r="G159" s="110">
        <f>20</f>
        <v>20</v>
      </c>
      <c r="H159" s="110">
        <f>20</f>
        <v>20</v>
      </c>
      <c r="I159" s="110">
        <f>20</f>
        <v>20</v>
      </c>
      <c r="J159" s="110">
        <f>20</f>
        <v>20</v>
      </c>
      <c r="K159" s="110">
        <f>20</f>
        <v>20</v>
      </c>
      <c r="L159" s="110">
        <f>20</f>
        <v>20</v>
      </c>
      <c r="M159" s="110">
        <f>20</f>
        <v>20</v>
      </c>
      <c r="N159" s="110">
        <f>20</f>
        <v>20</v>
      </c>
      <c r="O159" s="110">
        <f>20</f>
        <v>20</v>
      </c>
      <c r="P159" s="110">
        <f>20</f>
        <v>20</v>
      </c>
      <c r="Q159" s="110">
        <f>20</f>
        <v>20</v>
      </c>
    </row>
    <row r="160" spans="1:17" ht="90.75" customHeight="1" x14ac:dyDescent="0.2">
      <c r="A160" s="102" t="s">
        <v>759</v>
      </c>
      <c r="B160" s="59" t="s">
        <v>760</v>
      </c>
      <c r="C160" s="59" t="s">
        <v>1171</v>
      </c>
      <c r="D160" s="110">
        <f>20</f>
        <v>20</v>
      </c>
      <c r="E160" s="110">
        <f>20</f>
        <v>20</v>
      </c>
      <c r="F160" s="110">
        <f>20</f>
        <v>20</v>
      </c>
      <c r="G160" s="110">
        <f>20</f>
        <v>20</v>
      </c>
      <c r="H160" s="110">
        <f>20</f>
        <v>20</v>
      </c>
      <c r="I160" s="110">
        <f>20</f>
        <v>20</v>
      </c>
      <c r="J160" s="110">
        <f>20</f>
        <v>20</v>
      </c>
      <c r="K160" s="110">
        <f>20</f>
        <v>20</v>
      </c>
      <c r="L160" s="110">
        <f>20</f>
        <v>20</v>
      </c>
      <c r="M160" s="110">
        <f>20</f>
        <v>20</v>
      </c>
      <c r="N160" s="110">
        <f>20</f>
        <v>20</v>
      </c>
      <c r="O160" s="110">
        <f>20</f>
        <v>20</v>
      </c>
      <c r="P160" s="110">
        <f>20</f>
        <v>20</v>
      </c>
      <c r="Q160" s="110">
        <f>20</f>
        <v>20</v>
      </c>
    </row>
    <row r="161" spans="1:18" ht="30" x14ac:dyDescent="0.2">
      <c r="A161" s="102" t="s">
        <v>765</v>
      </c>
      <c r="B161" s="59" t="s">
        <v>766</v>
      </c>
      <c r="C161" s="59" t="s">
        <v>767</v>
      </c>
      <c r="D161" s="110">
        <f>20+1</f>
        <v>21</v>
      </c>
      <c r="E161" s="110">
        <f>25+1</f>
        <v>26</v>
      </c>
      <c r="F161" s="110">
        <f>30+1</f>
        <v>31</v>
      </c>
      <c r="G161" s="110">
        <f>40+1</f>
        <v>41</v>
      </c>
      <c r="H161" s="110">
        <f>50+1</f>
        <v>51</v>
      </c>
      <c r="I161" s="45">
        <f>60+1</f>
        <v>61</v>
      </c>
      <c r="J161" s="110">
        <f>70+1</f>
        <v>71</v>
      </c>
      <c r="K161" s="45">
        <f>80+1</f>
        <v>81</v>
      </c>
      <c r="L161" s="110">
        <f>90+1</f>
        <v>91</v>
      </c>
      <c r="M161" s="45">
        <f>100+1</f>
        <v>101</v>
      </c>
      <c r="N161" s="110">
        <f>150+1</f>
        <v>151</v>
      </c>
      <c r="O161" s="110">
        <f t="shared" ref="O161:Q161" si="11">150+1</f>
        <v>151</v>
      </c>
      <c r="P161" s="110">
        <f t="shared" si="11"/>
        <v>151</v>
      </c>
      <c r="Q161" s="110">
        <f t="shared" si="11"/>
        <v>151</v>
      </c>
    </row>
    <row r="162" spans="1:18" s="73" customFormat="1" ht="30" customHeight="1" x14ac:dyDescent="0.2">
      <c r="A162" s="359" t="s">
        <v>1191</v>
      </c>
      <c r="B162" s="360"/>
      <c r="C162" s="361"/>
      <c r="D162" s="111">
        <f>SUM(D11:D161)</f>
        <v>9979</v>
      </c>
      <c r="E162" s="111">
        <f t="shared" ref="E162:Q162" si="12">SUM(E11:E161)</f>
        <v>10652</v>
      </c>
      <c r="F162" s="111">
        <f t="shared" si="12"/>
        <v>11285</v>
      </c>
      <c r="G162" s="111">
        <f t="shared" si="12"/>
        <v>11861</v>
      </c>
      <c r="H162" s="111">
        <f t="shared" si="12"/>
        <v>12627</v>
      </c>
      <c r="I162" s="111">
        <f t="shared" si="12"/>
        <v>13424</v>
      </c>
      <c r="J162" s="111">
        <f t="shared" si="12"/>
        <v>14142</v>
      </c>
      <c r="K162" s="111">
        <f t="shared" si="12"/>
        <v>14831</v>
      </c>
      <c r="L162" s="111">
        <f t="shared" si="12"/>
        <v>15469</v>
      </c>
      <c r="M162" s="111">
        <f t="shared" si="12"/>
        <v>16266</v>
      </c>
      <c r="N162" s="111">
        <f t="shared" si="12"/>
        <v>16992</v>
      </c>
      <c r="O162" s="111">
        <f t="shared" si="12"/>
        <v>17825</v>
      </c>
      <c r="P162" s="111">
        <f t="shared" si="12"/>
        <v>18614</v>
      </c>
      <c r="Q162" s="111">
        <f t="shared" si="12"/>
        <v>19475</v>
      </c>
    </row>
    <row r="163" spans="1:18" s="10" customFormat="1" ht="30.75" customHeight="1" x14ac:dyDescent="0.2">
      <c r="A163" s="351" t="s">
        <v>36</v>
      </c>
      <c r="B163" s="352"/>
      <c r="C163" s="353"/>
      <c r="D163" s="112"/>
      <c r="E163" s="112"/>
      <c r="F163" s="112"/>
      <c r="G163" s="113"/>
      <c r="H163" s="112"/>
      <c r="I163" s="112"/>
      <c r="J163" s="112"/>
      <c r="K163" s="112"/>
      <c r="L163" s="112"/>
      <c r="M163" s="112"/>
      <c r="N163" s="112"/>
      <c r="O163" s="108"/>
      <c r="P163" s="92"/>
      <c r="Q163" s="92"/>
    </row>
    <row r="164" spans="1:18" ht="15" x14ac:dyDescent="0.2">
      <c r="A164" s="9" t="s">
        <v>16</v>
      </c>
      <c r="B164" s="310" t="s">
        <v>17</v>
      </c>
      <c r="C164" s="310"/>
      <c r="D164" s="93"/>
      <c r="E164" s="93"/>
      <c r="F164" s="93"/>
      <c r="G164" s="114"/>
      <c r="H164" s="93"/>
      <c r="I164" s="93"/>
      <c r="J164" s="93"/>
      <c r="K164" s="93"/>
      <c r="L164" s="93"/>
      <c r="M164" s="93"/>
      <c r="N164" s="93"/>
      <c r="O164" s="75"/>
      <c r="P164" s="92"/>
      <c r="Q164" s="92"/>
    </row>
    <row r="165" spans="1:18" ht="45" x14ac:dyDescent="0.2">
      <c r="A165" s="9" t="s">
        <v>768</v>
      </c>
      <c r="B165" s="9" t="s">
        <v>769</v>
      </c>
      <c r="C165" s="9" t="s">
        <v>770</v>
      </c>
      <c r="D165" s="110"/>
      <c r="E165" s="45">
        <f>1</f>
        <v>1</v>
      </c>
      <c r="F165" s="45">
        <f>1</f>
        <v>1</v>
      </c>
      <c r="G165" s="45">
        <f>1</f>
        <v>1</v>
      </c>
      <c r="H165" s="45">
        <f>1</f>
        <v>1</v>
      </c>
      <c r="I165" s="45">
        <f>1</f>
        <v>1</v>
      </c>
      <c r="J165" s="45">
        <f>1</f>
        <v>1</v>
      </c>
      <c r="K165" s="45">
        <f>1</f>
        <v>1</v>
      </c>
      <c r="L165" s="45">
        <f>1</f>
        <v>1</v>
      </c>
      <c r="M165" s="45">
        <f>1</f>
        <v>1</v>
      </c>
      <c r="N165" s="45">
        <f>1</f>
        <v>1</v>
      </c>
      <c r="O165" s="45">
        <f>1</f>
        <v>1</v>
      </c>
      <c r="P165" s="45">
        <f>1</f>
        <v>1</v>
      </c>
      <c r="Q165" s="45">
        <f>1</f>
        <v>1</v>
      </c>
    </row>
    <row r="166" spans="1:18" s="18" customFormat="1" ht="74.25" customHeight="1" x14ac:dyDescent="0.2">
      <c r="A166" s="330" t="s">
        <v>771</v>
      </c>
      <c r="B166" s="330" t="s">
        <v>772</v>
      </c>
      <c r="C166" s="59" t="s">
        <v>1049</v>
      </c>
      <c r="D166" s="115">
        <f>54</f>
        <v>54</v>
      </c>
      <c r="E166" s="115">
        <f>54</f>
        <v>54</v>
      </c>
      <c r="F166" s="115">
        <f>54</f>
        <v>54</v>
      </c>
      <c r="G166" s="115">
        <f>54</f>
        <v>54</v>
      </c>
      <c r="H166" s="115">
        <f>54</f>
        <v>54</v>
      </c>
      <c r="I166" s="115">
        <f>54</f>
        <v>54</v>
      </c>
      <c r="J166" s="115">
        <f>54</f>
        <v>54</v>
      </c>
      <c r="K166" s="115">
        <f>54</f>
        <v>54</v>
      </c>
      <c r="L166" s="115">
        <f>54</f>
        <v>54</v>
      </c>
      <c r="M166" s="115">
        <f>54</f>
        <v>54</v>
      </c>
      <c r="N166" s="115">
        <f>54</f>
        <v>54</v>
      </c>
      <c r="O166" s="115">
        <f>54</f>
        <v>54</v>
      </c>
      <c r="P166" s="115">
        <f>54</f>
        <v>54</v>
      </c>
      <c r="Q166" s="115">
        <f>54</f>
        <v>54</v>
      </c>
    </row>
    <row r="167" spans="1:18" ht="18.75" customHeight="1" x14ac:dyDescent="0.25">
      <c r="A167" s="331"/>
      <c r="B167" s="331"/>
      <c r="C167" s="102" t="s">
        <v>912</v>
      </c>
      <c r="D167" s="116">
        <f>31</f>
        <v>31</v>
      </c>
      <c r="E167" s="116">
        <f>37</f>
        <v>37</v>
      </c>
      <c r="F167" s="116">
        <f>36</f>
        <v>36</v>
      </c>
      <c r="G167" s="116">
        <f>41</f>
        <v>41</v>
      </c>
      <c r="H167" s="45">
        <f>42</f>
        <v>42</v>
      </c>
      <c r="I167" s="95">
        <f>49</f>
        <v>49</v>
      </c>
      <c r="J167" s="95">
        <f>46</f>
        <v>46</v>
      </c>
      <c r="K167" s="117">
        <f>59</f>
        <v>59</v>
      </c>
      <c r="L167" s="95">
        <f>62</f>
        <v>62</v>
      </c>
      <c r="M167" s="95">
        <f>60</f>
        <v>60</v>
      </c>
      <c r="N167" s="95">
        <f>66</f>
        <v>66</v>
      </c>
      <c r="O167" s="95">
        <f>70</f>
        <v>70</v>
      </c>
      <c r="P167" s="95">
        <f>76</f>
        <v>76</v>
      </c>
      <c r="Q167" s="95">
        <f>78</f>
        <v>78</v>
      </c>
      <c r="R167" s="13"/>
    </row>
    <row r="168" spans="1:18" ht="45" customHeight="1" x14ac:dyDescent="0.25">
      <c r="A168" s="308" t="s">
        <v>773</v>
      </c>
      <c r="B168" s="347" t="s">
        <v>774</v>
      </c>
      <c r="C168" s="102" t="s">
        <v>775</v>
      </c>
      <c r="D168" s="115">
        <f>9+27</f>
        <v>36</v>
      </c>
      <c r="E168" s="116">
        <f>17+27</f>
        <v>44</v>
      </c>
      <c r="F168" s="116">
        <f>10+27</f>
        <v>37</v>
      </c>
      <c r="G168" s="116">
        <f>18+27</f>
        <v>45</v>
      </c>
      <c r="H168" s="116">
        <f>17+27</f>
        <v>44</v>
      </c>
      <c r="I168" s="116">
        <f>21+27</f>
        <v>48</v>
      </c>
      <c r="J168" s="45">
        <f>23+27</f>
        <v>50</v>
      </c>
      <c r="K168" s="95">
        <f>27+27</f>
        <v>54</v>
      </c>
      <c r="L168" s="95">
        <f>30+27</f>
        <v>57</v>
      </c>
      <c r="M168" s="117">
        <f>40+27</f>
        <v>67</v>
      </c>
      <c r="N168" s="95">
        <f>50+27</f>
        <v>77</v>
      </c>
      <c r="O168" s="95">
        <f>54+27</f>
        <v>81</v>
      </c>
      <c r="P168" s="95">
        <f>56+27</f>
        <v>83</v>
      </c>
      <c r="Q168" s="95">
        <f>55+27</f>
        <v>82</v>
      </c>
      <c r="R168" s="13"/>
    </row>
    <row r="169" spans="1:18" ht="45" x14ac:dyDescent="0.25">
      <c r="A169" s="308"/>
      <c r="B169" s="347"/>
      <c r="C169" s="102" t="s">
        <v>774</v>
      </c>
      <c r="D169" s="116">
        <f>71+1+27</f>
        <v>99</v>
      </c>
      <c r="E169" s="116">
        <f>71+1+27</f>
        <v>99</v>
      </c>
      <c r="F169" s="116">
        <f>79+1+27</f>
        <v>107</v>
      </c>
      <c r="G169" s="116">
        <f>85+1+27</f>
        <v>113</v>
      </c>
      <c r="H169" s="116">
        <f>106+1+27</f>
        <v>134</v>
      </c>
      <c r="I169" s="116">
        <f>106+1+27</f>
        <v>134</v>
      </c>
      <c r="J169" s="116">
        <f>111+1+27</f>
        <v>139</v>
      </c>
      <c r="K169" s="116">
        <f>111+1+27</f>
        <v>139</v>
      </c>
      <c r="L169" s="116">
        <f>121+1+27</f>
        <v>149</v>
      </c>
      <c r="M169" s="116">
        <f>90+1+27</f>
        <v>118</v>
      </c>
      <c r="N169" s="116">
        <f>80+1+27</f>
        <v>108</v>
      </c>
      <c r="O169" s="116">
        <f>80+1+27</f>
        <v>108</v>
      </c>
      <c r="P169" s="116">
        <f>90+1+27</f>
        <v>118</v>
      </c>
      <c r="Q169" s="116">
        <f>80+1+27</f>
        <v>108</v>
      </c>
      <c r="R169" s="13"/>
    </row>
    <row r="170" spans="1:18" ht="15" x14ac:dyDescent="0.25">
      <c r="A170" s="308"/>
      <c r="B170" s="347"/>
      <c r="C170" s="102" t="s">
        <v>776</v>
      </c>
      <c r="D170" s="116">
        <f>5</f>
        <v>5</v>
      </c>
      <c r="E170" s="116">
        <f>6</f>
        <v>6</v>
      </c>
      <c r="F170" s="116">
        <f>4</f>
        <v>4</v>
      </c>
      <c r="G170" s="116">
        <f>4</f>
        <v>4</v>
      </c>
      <c r="H170" s="116">
        <f>8</f>
        <v>8</v>
      </c>
      <c r="I170" s="116">
        <f>9</f>
        <v>9</v>
      </c>
      <c r="J170" s="45">
        <f>4</f>
        <v>4</v>
      </c>
      <c r="K170" s="95">
        <f>6</f>
        <v>6</v>
      </c>
      <c r="L170" s="95">
        <f>6</f>
        <v>6</v>
      </c>
      <c r="M170" s="117">
        <f>10</f>
        <v>10</v>
      </c>
      <c r="N170" s="117">
        <f>10</f>
        <v>10</v>
      </c>
      <c r="O170" s="117">
        <f>10</f>
        <v>10</v>
      </c>
      <c r="P170" s="117">
        <f>10</f>
        <v>10</v>
      </c>
      <c r="Q170" s="117">
        <f>10</f>
        <v>10</v>
      </c>
      <c r="R170" s="13"/>
    </row>
    <row r="171" spans="1:18" s="15" customFormat="1" ht="182.25" customHeight="1" x14ac:dyDescent="0.2">
      <c r="A171" s="23" t="s">
        <v>777</v>
      </c>
      <c r="B171" s="23" t="s">
        <v>778</v>
      </c>
      <c r="C171" s="23" t="s">
        <v>779</v>
      </c>
      <c r="D171" s="118">
        <f>36</f>
        <v>36</v>
      </c>
      <c r="E171" s="118">
        <f>36</f>
        <v>36</v>
      </c>
      <c r="F171" s="118">
        <f>36</f>
        <v>36</v>
      </c>
      <c r="G171" s="118">
        <f>36</f>
        <v>36</v>
      </c>
      <c r="H171" s="118">
        <f>36</f>
        <v>36</v>
      </c>
      <c r="I171" s="118">
        <f>36</f>
        <v>36</v>
      </c>
      <c r="J171" s="118">
        <f>36</f>
        <v>36</v>
      </c>
      <c r="K171" s="118">
        <f>36</f>
        <v>36</v>
      </c>
      <c r="L171" s="118">
        <f>36</f>
        <v>36</v>
      </c>
      <c r="M171" s="118">
        <f>36</f>
        <v>36</v>
      </c>
      <c r="N171" s="118">
        <f>36</f>
        <v>36</v>
      </c>
      <c r="O171" s="118">
        <f>36</f>
        <v>36</v>
      </c>
      <c r="P171" s="118">
        <f>36</f>
        <v>36</v>
      </c>
      <c r="Q171" s="118">
        <f>36</f>
        <v>36</v>
      </c>
    </row>
    <row r="172" spans="1:18" ht="91.5" customHeight="1" x14ac:dyDescent="0.2">
      <c r="A172" s="102" t="s">
        <v>780</v>
      </c>
      <c r="B172" s="102" t="s">
        <v>781</v>
      </c>
      <c r="C172" s="9" t="s">
        <v>782</v>
      </c>
      <c r="D172" s="96">
        <f>4</f>
        <v>4</v>
      </c>
      <c r="E172" s="96">
        <f>3</f>
        <v>3</v>
      </c>
      <c r="F172" s="96">
        <f>4</f>
        <v>4</v>
      </c>
      <c r="G172" s="94">
        <f>4</f>
        <v>4</v>
      </c>
      <c r="H172" s="96">
        <f>5</f>
        <v>5</v>
      </c>
      <c r="I172" s="96">
        <f>4</f>
        <v>4</v>
      </c>
      <c r="J172" s="45">
        <f>3</f>
        <v>3</v>
      </c>
      <c r="K172" s="95">
        <f>4</f>
        <v>4</v>
      </c>
      <c r="L172" s="95">
        <f>4</f>
        <v>4</v>
      </c>
      <c r="M172" s="117">
        <f>5</f>
        <v>5</v>
      </c>
      <c r="N172" s="117">
        <f>5</f>
        <v>5</v>
      </c>
      <c r="O172" s="95">
        <f>5</f>
        <v>5</v>
      </c>
      <c r="P172" s="95">
        <f>5</f>
        <v>5</v>
      </c>
      <c r="Q172" s="95">
        <f>5</f>
        <v>5</v>
      </c>
    </row>
    <row r="173" spans="1:18" s="73" customFormat="1" ht="30" customHeight="1" x14ac:dyDescent="0.2">
      <c r="A173" s="359" t="s">
        <v>1192</v>
      </c>
      <c r="B173" s="360"/>
      <c r="C173" s="361"/>
      <c r="D173" s="119">
        <f>SUM(D165:D172)</f>
        <v>265</v>
      </c>
      <c r="E173" s="119">
        <f t="shared" ref="E173:Q173" si="13">SUM(E165:E172)</f>
        <v>280</v>
      </c>
      <c r="F173" s="119">
        <f t="shared" si="13"/>
        <v>279</v>
      </c>
      <c r="G173" s="119">
        <f t="shared" si="13"/>
        <v>298</v>
      </c>
      <c r="H173" s="119">
        <f t="shared" si="13"/>
        <v>324</v>
      </c>
      <c r="I173" s="119">
        <f t="shared" si="13"/>
        <v>335</v>
      </c>
      <c r="J173" s="119">
        <f t="shared" si="13"/>
        <v>333</v>
      </c>
      <c r="K173" s="119">
        <f t="shared" si="13"/>
        <v>353</v>
      </c>
      <c r="L173" s="119">
        <f t="shared" si="13"/>
        <v>369</v>
      </c>
      <c r="M173" s="119">
        <f t="shared" si="13"/>
        <v>351</v>
      </c>
      <c r="N173" s="119">
        <f t="shared" si="13"/>
        <v>357</v>
      </c>
      <c r="O173" s="119">
        <f t="shared" si="13"/>
        <v>365</v>
      </c>
      <c r="P173" s="119">
        <f t="shared" si="13"/>
        <v>383</v>
      </c>
      <c r="Q173" s="119">
        <f t="shared" si="13"/>
        <v>374</v>
      </c>
    </row>
    <row r="174" spans="1:18" ht="16.5" customHeight="1" x14ac:dyDescent="0.2">
      <c r="A174" s="348" t="s">
        <v>263</v>
      </c>
      <c r="B174" s="349"/>
      <c r="C174" s="350"/>
      <c r="D174" s="120"/>
      <c r="E174" s="120"/>
      <c r="F174" s="120"/>
      <c r="G174" s="121"/>
      <c r="H174" s="120"/>
      <c r="I174" s="120"/>
      <c r="J174" s="120"/>
      <c r="K174" s="120"/>
      <c r="L174" s="120"/>
      <c r="M174" s="120"/>
      <c r="N174" s="120"/>
      <c r="O174" s="75"/>
      <c r="P174" s="92"/>
      <c r="Q174" s="92"/>
    </row>
    <row r="175" spans="1:18" ht="15" x14ac:dyDescent="0.2">
      <c r="A175" s="102" t="s">
        <v>4</v>
      </c>
      <c r="B175" s="308" t="s">
        <v>23</v>
      </c>
      <c r="C175" s="308"/>
      <c r="D175" s="120"/>
      <c r="E175" s="120"/>
      <c r="F175" s="120"/>
      <c r="G175" s="121"/>
      <c r="H175" s="120"/>
      <c r="I175" s="120"/>
      <c r="J175" s="120"/>
      <c r="K175" s="120"/>
      <c r="L175" s="120"/>
      <c r="M175" s="120"/>
      <c r="N175" s="120"/>
      <c r="O175" s="75"/>
      <c r="P175" s="92"/>
      <c r="Q175" s="92"/>
    </row>
    <row r="176" spans="1:18" ht="30" x14ac:dyDescent="0.2">
      <c r="A176" s="102" t="s">
        <v>783</v>
      </c>
      <c r="B176" s="102" t="s">
        <v>784</v>
      </c>
      <c r="C176" s="102" t="s">
        <v>785</v>
      </c>
      <c r="D176" s="120"/>
      <c r="E176" s="115">
        <f>1</f>
        <v>1</v>
      </c>
      <c r="F176" s="115">
        <f>2</f>
        <v>2</v>
      </c>
      <c r="G176" s="122">
        <f>2</f>
        <v>2</v>
      </c>
      <c r="H176" s="115">
        <f>3</f>
        <v>3</v>
      </c>
      <c r="I176" s="115">
        <f>3</f>
        <v>3</v>
      </c>
      <c r="J176" s="115">
        <f>3</f>
        <v>3</v>
      </c>
      <c r="K176" s="115">
        <f>3</f>
        <v>3</v>
      </c>
      <c r="L176" s="115">
        <f>3</f>
        <v>3</v>
      </c>
      <c r="M176" s="115">
        <f>3</f>
        <v>3</v>
      </c>
      <c r="N176" s="115">
        <f>3</f>
        <v>3</v>
      </c>
      <c r="O176" s="115">
        <f>3</f>
        <v>3</v>
      </c>
      <c r="P176" s="115">
        <f>3</f>
        <v>3</v>
      </c>
      <c r="Q176" s="115">
        <f>3</f>
        <v>3</v>
      </c>
    </row>
    <row r="177" spans="1:17" ht="15" customHeight="1" x14ac:dyDescent="0.2">
      <c r="A177" s="102" t="s">
        <v>37</v>
      </c>
      <c r="B177" s="102" t="s">
        <v>25</v>
      </c>
      <c r="C177" s="102"/>
      <c r="D177" s="120"/>
      <c r="E177" s="120"/>
      <c r="F177" s="120"/>
      <c r="G177" s="121"/>
      <c r="H177" s="120"/>
      <c r="I177" s="120"/>
      <c r="J177" s="120"/>
      <c r="K177" s="120"/>
      <c r="L177" s="120"/>
      <c r="M177" s="120"/>
      <c r="N177" s="120"/>
      <c r="O177" s="75"/>
      <c r="P177" s="92"/>
      <c r="Q177" s="92"/>
    </row>
    <row r="178" spans="1:17" ht="16.5" customHeight="1" x14ac:dyDescent="0.2">
      <c r="A178" s="102" t="s">
        <v>786</v>
      </c>
      <c r="B178" s="102" t="s">
        <v>787</v>
      </c>
      <c r="C178" s="102" t="s">
        <v>788</v>
      </c>
      <c r="D178" s="122">
        <f>30</f>
        <v>30</v>
      </c>
      <c r="E178" s="122">
        <f>40</f>
        <v>40</v>
      </c>
      <c r="F178" s="122">
        <f>45</f>
        <v>45</v>
      </c>
      <c r="G178" s="122">
        <f>50</f>
        <v>50</v>
      </c>
      <c r="H178" s="122">
        <f>50</f>
        <v>50</v>
      </c>
      <c r="I178" s="122">
        <f>60</f>
        <v>60</v>
      </c>
      <c r="J178" s="122">
        <f>60</f>
        <v>60</v>
      </c>
      <c r="K178" s="122">
        <f>60</f>
        <v>60</v>
      </c>
      <c r="L178" s="122">
        <f>65</f>
        <v>65</v>
      </c>
      <c r="M178" s="122">
        <f>65</f>
        <v>65</v>
      </c>
      <c r="N178" s="122">
        <f>65</f>
        <v>65</v>
      </c>
      <c r="O178" s="122">
        <f>70</f>
        <v>70</v>
      </c>
      <c r="P178" s="122">
        <f>70</f>
        <v>70</v>
      </c>
      <c r="Q178" s="122">
        <f>75</f>
        <v>75</v>
      </c>
    </row>
    <row r="179" spans="1:17" s="73" customFormat="1" ht="16.5" customHeight="1" x14ac:dyDescent="0.2">
      <c r="A179" s="359" t="s">
        <v>1193</v>
      </c>
      <c r="B179" s="360"/>
      <c r="C179" s="173"/>
      <c r="D179" s="123">
        <f>SUM(D176:D178)</f>
        <v>30</v>
      </c>
      <c r="E179" s="123">
        <f t="shared" ref="E179:Q179" si="14">SUM(E176:E178)</f>
        <v>41</v>
      </c>
      <c r="F179" s="123">
        <f t="shared" si="14"/>
        <v>47</v>
      </c>
      <c r="G179" s="123">
        <f t="shared" si="14"/>
        <v>52</v>
      </c>
      <c r="H179" s="123">
        <f t="shared" si="14"/>
        <v>53</v>
      </c>
      <c r="I179" s="123">
        <f t="shared" si="14"/>
        <v>63</v>
      </c>
      <c r="J179" s="123">
        <f t="shared" si="14"/>
        <v>63</v>
      </c>
      <c r="K179" s="123">
        <f t="shared" si="14"/>
        <v>63</v>
      </c>
      <c r="L179" s="123">
        <f t="shared" si="14"/>
        <v>68</v>
      </c>
      <c r="M179" s="123">
        <f t="shared" si="14"/>
        <v>68</v>
      </c>
      <c r="N179" s="123">
        <f t="shared" si="14"/>
        <v>68</v>
      </c>
      <c r="O179" s="123">
        <f t="shared" si="14"/>
        <v>73</v>
      </c>
      <c r="P179" s="123">
        <f t="shared" si="14"/>
        <v>73</v>
      </c>
      <c r="Q179" s="123">
        <f t="shared" si="14"/>
        <v>78</v>
      </c>
    </row>
    <row r="180" spans="1:17" s="77" customFormat="1" ht="16.5" customHeight="1" x14ac:dyDescent="0.2">
      <c r="A180" s="362" t="s">
        <v>1204</v>
      </c>
      <c r="B180" s="363"/>
      <c r="C180" s="364"/>
      <c r="D180" s="124">
        <f>D179+D173+D162</f>
        <v>10274</v>
      </c>
      <c r="E180" s="124">
        <f t="shared" ref="E180:Q180" si="15">E179+E173+E162</f>
        <v>10973</v>
      </c>
      <c r="F180" s="124">
        <f t="shared" si="15"/>
        <v>11611</v>
      </c>
      <c r="G180" s="124">
        <f t="shared" si="15"/>
        <v>12211</v>
      </c>
      <c r="H180" s="124">
        <f t="shared" si="15"/>
        <v>13004</v>
      </c>
      <c r="I180" s="124">
        <f t="shared" si="15"/>
        <v>13822</v>
      </c>
      <c r="J180" s="124">
        <f t="shared" si="15"/>
        <v>14538</v>
      </c>
      <c r="K180" s="124">
        <f t="shared" si="15"/>
        <v>15247</v>
      </c>
      <c r="L180" s="124">
        <f t="shared" si="15"/>
        <v>15906</v>
      </c>
      <c r="M180" s="124">
        <f t="shared" si="15"/>
        <v>16685</v>
      </c>
      <c r="N180" s="124">
        <f t="shared" si="15"/>
        <v>17417</v>
      </c>
      <c r="O180" s="124">
        <f t="shared" si="15"/>
        <v>18263</v>
      </c>
      <c r="P180" s="124">
        <f t="shared" si="15"/>
        <v>19070</v>
      </c>
      <c r="Q180" s="124">
        <f t="shared" si="15"/>
        <v>19927</v>
      </c>
    </row>
    <row r="181" spans="1:17" s="11" customFormat="1" ht="27.75" customHeight="1" x14ac:dyDescent="0.2">
      <c r="A181" s="356" t="s">
        <v>789</v>
      </c>
      <c r="B181" s="357"/>
      <c r="C181" s="358"/>
      <c r="D181" s="125"/>
      <c r="E181" s="125"/>
      <c r="F181" s="125"/>
      <c r="G181" s="126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</row>
    <row r="182" spans="1:17" ht="19.5" customHeight="1" x14ac:dyDescent="0.2">
      <c r="A182" s="351" t="s">
        <v>10</v>
      </c>
      <c r="B182" s="352"/>
      <c r="C182" s="353"/>
      <c r="D182" s="75"/>
      <c r="E182" s="75"/>
      <c r="F182" s="75"/>
      <c r="G182" s="100"/>
      <c r="H182" s="75"/>
      <c r="I182" s="75"/>
      <c r="J182" s="75"/>
      <c r="K182" s="75"/>
      <c r="L182" s="75"/>
      <c r="M182" s="75"/>
      <c r="N182" s="75"/>
      <c r="O182" s="75"/>
      <c r="P182" s="92"/>
      <c r="Q182" s="92"/>
    </row>
    <row r="183" spans="1:17" ht="15" x14ac:dyDescent="0.2">
      <c r="A183" s="59" t="s">
        <v>28</v>
      </c>
      <c r="B183" s="309" t="s">
        <v>29</v>
      </c>
      <c r="C183" s="309"/>
      <c r="D183" s="75"/>
      <c r="E183" s="75"/>
      <c r="F183" s="75"/>
      <c r="G183" s="100"/>
      <c r="H183" s="75"/>
      <c r="I183" s="75"/>
      <c r="J183" s="75"/>
      <c r="K183" s="75"/>
      <c r="L183" s="75"/>
      <c r="M183" s="75"/>
      <c r="N183" s="75"/>
      <c r="O183" s="75"/>
      <c r="P183" s="92"/>
      <c r="Q183" s="92"/>
    </row>
    <row r="184" spans="1:17" ht="45" x14ac:dyDescent="0.2">
      <c r="A184" s="102" t="s">
        <v>790</v>
      </c>
      <c r="B184" s="59" t="s">
        <v>791</v>
      </c>
      <c r="C184" s="59" t="s">
        <v>792</v>
      </c>
      <c r="D184" s="45">
        <f>20</f>
        <v>20</v>
      </c>
      <c r="E184" s="45">
        <f>10</f>
        <v>10</v>
      </c>
      <c r="F184" s="45">
        <f>20</f>
        <v>20</v>
      </c>
      <c r="G184" s="45">
        <f>20</f>
        <v>20</v>
      </c>
      <c r="H184" s="45">
        <f>20</f>
        <v>20</v>
      </c>
      <c r="I184" s="45">
        <f>20</f>
        <v>20</v>
      </c>
      <c r="J184" s="45">
        <f>20</f>
        <v>20</v>
      </c>
      <c r="K184" s="45">
        <f>20</f>
        <v>20</v>
      </c>
      <c r="L184" s="45">
        <f>20</f>
        <v>20</v>
      </c>
      <c r="M184" s="45">
        <f>20</f>
        <v>20</v>
      </c>
      <c r="N184" s="45">
        <f>20</f>
        <v>20</v>
      </c>
      <c r="O184" s="45">
        <f>20</f>
        <v>20</v>
      </c>
      <c r="P184" s="45">
        <f>20</f>
        <v>20</v>
      </c>
      <c r="Q184" s="45">
        <f>20</f>
        <v>20</v>
      </c>
    </row>
    <row r="185" spans="1:17" ht="48" customHeight="1" x14ac:dyDescent="0.2">
      <c r="A185" s="102" t="s">
        <v>793</v>
      </c>
      <c r="B185" s="9" t="s">
        <v>794</v>
      </c>
      <c r="C185" s="59" t="s">
        <v>792</v>
      </c>
      <c r="D185" s="45">
        <f>50</f>
        <v>50</v>
      </c>
      <c r="E185" s="45">
        <f>60</f>
        <v>60</v>
      </c>
      <c r="F185" s="45">
        <f>40</f>
        <v>40</v>
      </c>
      <c r="G185" s="45">
        <f>40</f>
        <v>40</v>
      </c>
      <c r="H185" s="45">
        <f>60</f>
        <v>60</v>
      </c>
      <c r="I185" s="45">
        <f>50</f>
        <v>50</v>
      </c>
      <c r="J185" s="45">
        <f>60</f>
        <v>60</v>
      </c>
      <c r="K185" s="45">
        <f>40</f>
        <v>40</v>
      </c>
      <c r="L185" s="45">
        <f>40</f>
        <v>40</v>
      </c>
      <c r="M185" s="45">
        <f>60</f>
        <v>60</v>
      </c>
      <c r="N185" s="45">
        <f>40</f>
        <v>40</v>
      </c>
      <c r="O185" s="45">
        <f>40</f>
        <v>40</v>
      </c>
      <c r="P185" s="45">
        <f>40</f>
        <v>40</v>
      </c>
      <c r="Q185" s="45">
        <f>40</f>
        <v>40</v>
      </c>
    </row>
    <row r="186" spans="1:17" ht="60" x14ac:dyDescent="0.2">
      <c r="A186" s="102" t="s">
        <v>795</v>
      </c>
      <c r="B186" s="9" t="s">
        <v>796</v>
      </c>
      <c r="C186" s="59" t="s">
        <v>792</v>
      </c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110"/>
      <c r="Q186" s="110"/>
    </row>
    <row r="187" spans="1:17" ht="34.5" customHeight="1" x14ac:dyDescent="0.2">
      <c r="A187" s="102" t="s">
        <v>797</v>
      </c>
      <c r="B187" s="9" t="s">
        <v>798</v>
      </c>
      <c r="C187" s="59" t="s">
        <v>792</v>
      </c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110"/>
      <c r="Q187" s="110"/>
    </row>
    <row r="188" spans="1:17" ht="60" x14ac:dyDescent="0.2">
      <c r="A188" s="102" t="s">
        <v>799</v>
      </c>
      <c r="B188" s="59" t="s">
        <v>800</v>
      </c>
      <c r="C188" s="59" t="s">
        <v>792</v>
      </c>
      <c r="D188" s="45">
        <f>80</f>
        <v>80</v>
      </c>
      <c r="E188" s="45">
        <f>70</f>
        <v>70</v>
      </c>
      <c r="F188" s="45">
        <f>50</f>
        <v>50</v>
      </c>
      <c r="G188" s="45">
        <f>50</f>
        <v>50</v>
      </c>
      <c r="H188" s="45">
        <f>40</f>
        <v>40</v>
      </c>
      <c r="I188" s="45">
        <f>40</f>
        <v>40</v>
      </c>
      <c r="J188" s="45">
        <f>40</f>
        <v>40</v>
      </c>
      <c r="K188" s="45">
        <f>40</f>
        <v>40</v>
      </c>
      <c r="L188" s="45">
        <f>40</f>
        <v>40</v>
      </c>
      <c r="M188" s="45">
        <f>40</f>
        <v>40</v>
      </c>
      <c r="N188" s="45">
        <f>40</f>
        <v>40</v>
      </c>
      <c r="O188" s="45">
        <f>40</f>
        <v>40</v>
      </c>
      <c r="P188" s="45">
        <f>40</f>
        <v>40</v>
      </c>
      <c r="Q188" s="45">
        <f>40</f>
        <v>40</v>
      </c>
    </row>
    <row r="189" spans="1:17" ht="45" x14ac:dyDescent="0.2">
      <c r="A189" s="102" t="s">
        <v>801</v>
      </c>
      <c r="B189" s="9" t="s">
        <v>802</v>
      </c>
      <c r="C189" s="59" t="s">
        <v>792</v>
      </c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95"/>
      <c r="Q189" s="95"/>
    </row>
    <row r="190" spans="1:17" ht="90" x14ac:dyDescent="0.2">
      <c r="A190" s="102" t="s">
        <v>803</v>
      </c>
      <c r="B190" s="59" t="s">
        <v>804</v>
      </c>
      <c r="C190" s="59" t="s">
        <v>792</v>
      </c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95"/>
      <c r="Q190" s="95"/>
    </row>
    <row r="191" spans="1:17" ht="45" x14ac:dyDescent="0.2">
      <c r="A191" s="102" t="s">
        <v>805</v>
      </c>
      <c r="B191" s="9" t="s">
        <v>806</v>
      </c>
      <c r="C191" s="59" t="s">
        <v>792</v>
      </c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95"/>
      <c r="Q191" s="95"/>
    </row>
    <row r="192" spans="1:17" ht="75" x14ac:dyDescent="0.2">
      <c r="A192" s="102" t="s">
        <v>807</v>
      </c>
      <c r="B192" s="9" t="s">
        <v>808</v>
      </c>
      <c r="C192" s="59" t="s">
        <v>792</v>
      </c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95"/>
      <c r="Q192" s="95"/>
    </row>
    <row r="193" spans="1:17" ht="45" x14ac:dyDescent="0.2">
      <c r="A193" s="102" t="s">
        <v>809</v>
      </c>
      <c r="B193" s="9" t="s">
        <v>810</v>
      </c>
      <c r="C193" s="59" t="s">
        <v>792</v>
      </c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95"/>
      <c r="Q193" s="95"/>
    </row>
    <row r="194" spans="1:17" ht="16.5" customHeight="1" x14ac:dyDescent="0.2">
      <c r="A194" s="102" t="s">
        <v>6</v>
      </c>
      <c r="B194" s="309" t="s">
        <v>7</v>
      </c>
      <c r="C194" s="309"/>
      <c r="D194" s="127"/>
      <c r="E194" s="127"/>
      <c r="F194" s="127"/>
      <c r="G194" s="128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</row>
    <row r="195" spans="1:17" ht="64.5" customHeight="1" x14ac:dyDescent="0.2">
      <c r="A195" s="102" t="s">
        <v>811</v>
      </c>
      <c r="B195" s="59" t="s">
        <v>812</v>
      </c>
      <c r="C195" s="59" t="s">
        <v>813</v>
      </c>
      <c r="D195" s="43">
        <f>26</f>
        <v>26</v>
      </c>
      <c r="E195" s="43">
        <f>24</f>
        <v>24</v>
      </c>
      <c r="F195" s="43">
        <f>26</f>
        <v>26</v>
      </c>
      <c r="G195" s="43">
        <f>25</f>
        <v>25</v>
      </c>
      <c r="H195" s="43">
        <f>25</f>
        <v>25</v>
      </c>
      <c r="I195" s="43">
        <f>25</f>
        <v>25</v>
      </c>
      <c r="J195" s="95">
        <f>26</f>
        <v>26</v>
      </c>
      <c r="K195" s="95">
        <f>26</f>
        <v>26</v>
      </c>
      <c r="L195" s="95">
        <f>27</f>
        <v>27</v>
      </c>
      <c r="M195" s="95">
        <f>27</f>
        <v>27</v>
      </c>
      <c r="N195" s="95">
        <f>27</f>
        <v>27</v>
      </c>
      <c r="O195" s="95">
        <f>27</f>
        <v>27</v>
      </c>
      <c r="P195" s="95">
        <f>27</f>
        <v>27</v>
      </c>
      <c r="Q195" s="95">
        <f>27</f>
        <v>27</v>
      </c>
    </row>
    <row r="196" spans="1:17" ht="60.75" customHeight="1" x14ac:dyDescent="0.2">
      <c r="A196" s="102" t="s">
        <v>814</v>
      </c>
      <c r="B196" s="59" t="s">
        <v>815</v>
      </c>
      <c r="C196" s="59" t="s">
        <v>816</v>
      </c>
      <c r="D196" s="129">
        <f>28</f>
        <v>28</v>
      </c>
      <c r="E196" s="129">
        <f>27</f>
        <v>27</v>
      </c>
      <c r="F196" s="129">
        <f>28</f>
        <v>28</v>
      </c>
      <c r="G196" s="129">
        <f>27</f>
        <v>27</v>
      </c>
      <c r="H196" s="129">
        <f>27</f>
        <v>27</v>
      </c>
      <c r="I196" s="104">
        <f>28</f>
        <v>28</v>
      </c>
      <c r="J196" s="130">
        <f>29</f>
        <v>29</v>
      </c>
      <c r="K196" s="130">
        <f>30</f>
        <v>30</v>
      </c>
      <c r="L196" s="130">
        <f>29</f>
        <v>29</v>
      </c>
      <c r="M196" s="130">
        <f>30</f>
        <v>30</v>
      </c>
      <c r="N196" s="130">
        <f>30</f>
        <v>30</v>
      </c>
      <c r="O196" s="130">
        <f>31</f>
        <v>31</v>
      </c>
      <c r="P196" s="130">
        <f>30</f>
        <v>30</v>
      </c>
      <c r="Q196" s="130">
        <f>30</f>
        <v>30</v>
      </c>
    </row>
    <row r="197" spans="1:17" ht="33" customHeight="1" x14ac:dyDescent="0.2">
      <c r="A197" s="131" t="s">
        <v>817</v>
      </c>
      <c r="B197" s="16" t="s">
        <v>818</v>
      </c>
      <c r="C197" s="59" t="s">
        <v>819</v>
      </c>
      <c r="D197" s="45">
        <f>9+1</f>
        <v>10</v>
      </c>
      <c r="E197" s="45">
        <f>7+1</f>
        <v>8</v>
      </c>
      <c r="F197" s="45">
        <f>7+1</f>
        <v>8</v>
      </c>
      <c r="G197" s="45">
        <f>7+1+1</f>
        <v>9</v>
      </c>
      <c r="H197" s="45">
        <f>8+1</f>
        <v>9</v>
      </c>
      <c r="I197" s="45">
        <f>7+1</f>
        <v>8</v>
      </c>
      <c r="J197" s="45">
        <f t="shared" ref="J197:K197" si="16">7+1</f>
        <v>8</v>
      </c>
      <c r="K197" s="45">
        <f t="shared" si="16"/>
        <v>8</v>
      </c>
      <c r="L197" s="45">
        <f>7+1+1</f>
        <v>9</v>
      </c>
      <c r="M197" s="45">
        <f t="shared" ref="M197:N197" si="17">7+1+1</f>
        <v>9</v>
      </c>
      <c r="N197" s="45">
        <f t="shared" si="17"/>
        <v>9</v>
      </c>
      <c r="O197" s="94">
        <f>9+1</f>
        <v>10</v>
      </c>
      <c r="P197" s="94">
        <f>8+1</f>
        <v>9</v>
      </c>
      <c r="Q197" s="94">
        <f>8+1+1</f>
        <v>10</v>
      </c>
    </row>
    <row r="198" spans="1:17" ht="93.75" customHeight="1" x14ac:dyDescent="0.2">
      <c r="A198" s="131" t="s">
        <v>820</v>
      </c>
      <c r="B198" s="9" t="s">
        <v>821</v>
      </c>
      <c r="C198" s="59" t="s">
        <v>822</v>
      </c>
      <c r="D198" s="45">
        <f>59</f>
        <v>59</v>
      </c>
      <c r="E198" s="45">
        <f>13</f>
        <v>13</v>
      </c>
      <c r="F198" s="45">
        <f>8</f>
        <v>8</v>
      </c>
      <c r="G198" s="45">
        <f>9</f>
        <v>9</v>
      </c>
      <c r="H198" s="45">
        <f>9</f>
        <v>9</v>
      </c>
      <c r="I198" s="45">
        <f>9</f>
        <v>9</v>
      </c>
      <c r="J198" s="94">
        <f>11</f>
        <v>11</v>
      </c>
      <c r="K198" s="94">
        <f>11</f>
        <v>11</v>
      </c>
      <c r="L198" s="94">
        <f>11</f>
        <v>11</v>
      </c>
      <c r="M198" s="94">
        <f>12</f>
        <v>12</v>
      </c>
      <c r="N198" s="94">
        <f>11</f>
        <v>11</v>
      </c>
      <c r="O198" s="94">
        <f>11</f>
        <v>11</v>
      </c>
      <c r="P198" s="94">
        <f>11</f>
        <v>11</v>
      </c>
      <c r="Q198" s="94">
        <f>11</f>
        <v>11</v>
      </c>
    </row>
    <row r="199" spans="1:17" ht="50.25" customHeight="1" x14ac:dyDescent="0.2">
      <c r="A199" s="131" t="s">
        <v>823</v>
      </c>
      <c r="B199" s="9" t="s">
        <v>824</v>
      </c>
      <c r="C199" s="59" t="s">
        <v>825</v>
      </c>
      <c r="D199" s="45">
        <f>5</f>
        <v>5</v>
      </c>
      <c r="E199" s="45">
        <f>3</f>
        <v>3</v>
      </c>
      <c r="F199" s="45">
        <f>3</f>
        <v>3</v>
      </c>
      <c r="G199" s="45">
        <f>3</f>
        <v>3</v>
      </c>
      <c r="H199" s="45">
        <f>4</f>
        <v>4</v>
      </c>
      <c r="I199" s="45">
        <f>3</f>
        <v>3</v>
      </c>
      <c r="J199" s="94">
        <f>4</f>
        <v>4</v>
      </c>
      <c r="K199" s="94">
        <f>4</f>
        <v>4</v>
      </c>
      <c r="L199" s="94">
        <f>4</f>
        <v>4</v>
      </c>
      <c r="M199" s="94">
        <f>4</f>
        <v>4</v>
      </c>
      <c r="N199" s="94">
        <f>4</f>
        <v>4</v>
      </c>
      <c r="O199" s="94">
        <f>4</f>
        <v>4</v>
      </c>
      <c r="P199" s="94">
        <f>5</f>
        <v>5</v>
      </c>
      <c r="Q199" s="94">
        <f>4</f>
        <v>4</v>
      </c>
    </row>
    <row r="200" spans="1:17" ht="60.75" customHeight="1" x14ac:dyDescent="0.2">
      <c r="A200" s="131" t="s">
        <v>826</v>
      </c>
      <c r="B200" s="9" t="s">
        <v>827</v>
      </c>
      <c r="C200" s="59" t="s">
        <v>828</v>
      </c>
      <c r="D200" s="45">
        <f>29</f>
        <v>29</v>
      </c>
      <c r="E200" s="45">
        <f>28</f>
        <v>28</v>
      </c>
      <c r="F200" s="45">
        <f>28</f>
        <v>28</v>
      </c>
      <c r="G200" s="45">
        <f>28</f>
        <v>28</v>
      </c>
      <c r="H200" s="45">
        <f>27</f>
        <v>27</v>
      </c>
      <c r="I200" s="45">
        <f>27</f>
        <v>27</v>
      </c>
      <c r="J200" s="94">
        <f>28</f>
        <v>28</v>
      </c>
      <c r="K200" s="94">
        <f>29</f>
        <v>29</v>
      </c>
      <c r="L200" s="94">
        <f>28</f>
        <v>28</v>
      </c>
      <c r="M200" s="94">
        <f>28</f>
        <v>28</v>
      </c>
      <c r="N200" s="94">
        <f>29</f>
        <v>29</v>
      </c>
      <c r="O200" s="94">
        <f>28</f>
        <v>28</v>
      </c>
      <c r="P200" s="94">
        <f>28</f>
        <v>28</v>
      </c>
      <c r="Q200" s="94">
        <f>28</f>
        <v>28</v>
      </c>
    </row>
    <row r="201" spans="1:17" ht="258" customHeight="1" x14ac:dyDescent="0.2">
      <c r="A201" s="131" t="s">
        <v>829</v>
      </c>
      <c r="B201" s="9" t="s">
        <v>830</v>
      </c>
      <c r="C201" s="59" t="s">
        <v>831</v>
      </c>
      <c r="D201" s="45">
        <f>10</f>
        <v>10</v>
      </c>
      <c r="E201" s="45">
        <f>13</f>
        <v>13</v>
      </c>
      <c r="F201" s="45">
        <f>13</f>
        <v>13</v>
      </c>
      <c r="G201" s="45">
        <f>15</f>
        <v>15</v>
      </c>
      <c r="H201" s="45">
        <f>15</f>
        <v>15</v>
      </c>
      <c r="I201" s="45">
        <f>12</f>
        <v>12</v>
      </c>
      <c r="J201" s="45">
        <f>12</f>
        <v>12</v>
      </c>
      <c r="K201" s="45">
        <f>12</f>
        <v>12</v>
      </c>
      <c r="L201" s="45">
        <f>12</f>
        <v>12</v>
      </c>
      <c r="M201" s="94">
        <f>13</f>
        <v>13</v>
      </c>
      <c r="N201" s="94">
        <f>13</f>
        <v>13</v>
      </c>
      <c r="O201" s="94">
        <f>13</f>
        <v>13</v>
      </c>
      <c r="P201" s="94">
        <f>13</f>
        <v>13</v>
      </c>
      <c r="Q201" s="94">
        <f>13</f>
        <v>13</v>
      </c>
    </row>
    <row r="202" spans="1:17" ht="15" x14ac:dyDescent="0.2">
      <c r="A202" s="132" t="s">
        <v>52</v>
      </c>
      <c r="B202" s="310" t="s">
        <v>53</v>
      </c>
      <c r="C202" s="310"/>
      <c r="D202" s="133"/>
      <c r="E202" s="133"/>
      <c r="F202" s="133"/>
      <c r="G202" s="134"/>
      <c r="H202" s="133"/>
      <c r="I202" s="133"/>
      <c r="J202" s="133"/>
      <c r="K202" s="133"/>
      <c r="L202" s="133"/>
      <c r="M202" s="133"/>
      <c r="N202" s="133"/>
      <c r="O202" s="75"/>
      <c r="P202" s="92"/>
      <c r="Q202" s="92"/>
    </row>
    <row r="203" spans="1:17" ht="63.75" customHeight="1" x14ac:dyDescent="0.2">
      <c r="A203" s="131" t="s">
        <v>832</v>
      </c>
      <c r="B203" s="9" t="s">
        <v>833</v>
      </c>
      <c r="C203" s="59" t="s">
        <v>834</v>
      </c>
      <c r="D203" s="45">
        <f>7+3</f>
        <v>10</v>
      </c>
      <c r="E203" s="45">
        <f>6+3</f>
        <v>9</v>
      </c>
      <c r="F203" s="45">
        <f>7+3</f>
        <v>10</v>
      </c>
      <c r="G203" s="45">
        <f t="shared" ref="G203:L204" si="18">7+3</f>
        <v>10</v>
      </c>
      <c r="H203" s="45">
        <f t="shared" si="18"/>
        <v>10</v>
      </c>
      <c r="I203" s="45">
        <f t="shared" si="18"/>
        <v>10</v>
      </c>
      <c r="J203" s="45">
        <f t="shared" si="18"/>
        <v>10</v>
      </c>
      <c r="K203" s="45">
        <f t="shared" si="18"/>
        <v>10</v>
      </c>
      <c r="L203" s="45">
        <f t="shared" si="18"/>
        <v>10</v>
      </c>
      <c r="M203" s="95">
        <f>8</f>
        <v>8</v>
      </c>
      <c r="N203" s="95">
        <f>8</f>
        <v>8</v>
      </c>
      <c r="O203" s="95">
        <f>9</f>
        <v>9</v>
      </c>
      <c r="P203" s="95">
        <f>8</f>
        <v>8</v>
      </c>
      <c r="Q203" s="95">
        <f>8</f>
        <v>8</v>
      </c>
    </row>
    <row r="204" spans="1:17" ht="64.5" customHeight="1" x14ac:dyDescent="0.2">
      <c r="A204" s="131" t="s">
        <v>835</v>
      </c>
      <c r="B204" s="9" t="s">
        <v>251</v>
      </c>
      <c r="C204" s="59" t="s">
        <v>834</v>
      </c>
      <c r="D204" s="45">
        <f>6+3</f>
        <v>9</v>
      </c>
      <c r="E204" s="45">
        <f>7+3</f>
        <v>10</v>
      </c>
      <c r="F204" s="45">
        <f>6+3</f>
        <v>9</v>
      </c>
      <c r="G204" s="45">
        <f>7+3</f>
        <v>10</v>
      </c>
      <c r="H204" s="45">
        <f>7+3</f>
        <v>10</v>
      </c>
      <c r="I204" s="45">
        <f>5+3</f>
        <v>8</v>
      </c>
      <c r="J204" s="45">
        <f>7+3</f>
        <v>10</v>
      </c>
      <c r="K204" s="45">
        <f t="shared" si="18"/>
        <v>10</v>
      </c>
      <c r="L204" s="45">
        <f t="shared" si="18"/>
        <v>10</v>
      </c>
      <c r="M204" s="95">
        <f>8</f>
        <v>8</v>
      </c>
      <c r="N204" s="95">
        <f>8</f>
        <v>8</v>
      </c>
      <c r="O204" s="95">
        <f>8</f>
        <v>8</v>
      </c>
      <c r="P204" s="95">
        <f>8</f>
        <v>8</v>
      </c>
      <c r="Q204" s="95">
        <f>9</f>
        <v>9</v>
      </c>
    </row>
    <row r="205" spans="1:17" ht="64.5" customHeight="1" x14ac:dyDescent="0.2">
      <c r="A205" s="131" t="s">
        <v>836</v>
      </c>
      <c r="B205" s="9" t="s">
        <v>252</v>
      </c>
      <c r="C205" s="59" t="s">
        <v>834</v>
      </c>
      <c r="D205" s="45">
        <f>3</f>
        <v>3</v>
      </c>
      <c r="E205" s="45">
        <f>3</f>
        <v>3</v>
      </c>
      <c r="F205" s="45">
        <f>3</f>
        <v>3</v>
      </c>
      <c r="G205" s="45">
        <f>3</f>
        <v>3</v>
      </c>
      <c r="H205" s="45">
        <f>3</f>
        <v>3</v>
      </c>
      <c r="I205" s="45">
        <f>3</f>
        <v>3</v>
      </c>
      <c r="J205" s="45">
        <f>3</f>
        <v>3</v>
      </c>
      <c r="K205" s="45">
        <f>3</f>
        <v>3</v>
      </c>
      <c r="L205" s="45">
        <f>3</f>
        <v>3</v>
      </c>
      <c r="M205" s="95"/>
      <c r="N205" s="95"/>
      <c r="O205" s="95"/>
      <c r="P205" s="95"/>
      <c r="Q205" s="95"/>
    </row>
    <row r="206" spans="1:17" ht="75" x14ac:dyDescent="0.2">
      <c r="A206" s="131" t="s">
        <v>837</v>
      </c>
      <c r="B206" s="9" t="s">
        <v>838</v>
      </c>
      <c r="C206" s="59" t="s">
        <v>839</v>
      </c>
      <c r="D206" s="45">
        <f>24+3</f>
        <v>27</v>
      </c>
      <c r="E206" s="45">
        <f>24+3</f>
        <v>27</v>
      </c>
      <c r="F206" s="45">
        <f>25+3</f>
        <v>28</v>
      </c>
      <c r="G206" s="45">
        <f>24+3</f>
        <v>27</v>
      </c>
      <c r="H206" s="45">
        <f t="shared" ref="H206:I206" si="19">24+3</f>
        <v>27</v>
      </c>
      <c r="I206" s="45">
        <f t="shared" si="19"/>
        <v>27</v>
      </c>
      <c r="J206" s="95">
        <f>26+3</f>
        <v>29</v>
      </c>
      <c r="K206" s="95">
        <f>25+3</f>
        <v>28</v>
      </c>
      <c r="L206" s="95">
        <f>25+3</f>
        <v>28</v>
      </c>
      <c r="M206" s="95">
        <f>26</f>
        <v>26</v>
      </c>
      <c r="N206" s="95">
        <f>25</f>
        <v>25</v>
      </c>
      <c r="O206" s="95">
        <f>25</f>
        <v>25</v>
      </c>
      <c r="P206" s="95">
        <f>25</f>
        <v>25</v>
      </c>
      <c r="Q206" s="95">
        <f>26</f>
        <v>26</v>
      </c>
    </row>
    <row r="207" spans="1:17" ht="75" x14ac:dyDescent="0.2">
      <c r="A207" s="131" t="s">
        <v>840</v>
      </c>
      <c r="B207" s="9" t="s">
        <v>841</v>
      </c>
      <c r="C207" s="59" t="s">
        <v>839</v>
      </c>
      <c r="D207" s="45">
        <f>27+3</f>
        <v>30</v>
      </c>
      <c r="E207" s="45">
        <f>28+3</f>
        <v>31</v>
      </c>
      <c r="F207" s="45">
        <f>26+3</f>
        <v>29</v>
      </c>
      <c r="G207" s="45">
        <f>26+3</f>
        <v>29</v>
      </c>
      <c r="H207" s="45">
        <f>26+3</f>
        <v>29</v>
      </c>
      <c r="I207" s="45">
        <f>26+3</f>
        <v>29</v>
      </c>
      <c r="J207" s="95">
        <f>27+3</f>
        <v>30</v>
      </c>
      <c r="K207" s="95">
        <f>28+3</f>
        <v>31</v>
      </c>
      <c r="L207" s="95">
        <f>27+3</f>
        <v>30</v>
      </c>
      <c r="M207" s="95">
        <f>27</f>
        <v>27</v>
      </c>
      <c r="N207" s="95">
        <f>27</f>
        <v>27</v>
      </c>
      <c r="O207" s="95">
        <f>28</f>
        <v>28</v>
      </c>
      <c r="P207" s="95">
        <f>27</f>
        <v>27</v>
      </c>
      <c r="Q207" s="95">
        <f>27</f>
        <v>27</v>
      </c>
    </row>
    <row r="208" spans="1:17" ht="18.75" customHeight="1" x14ac:dyDescent="0.2">
      <c r="A208" s="131" t="s">
        <v>30</v>
      </c>
      <c r="B208" s="310" t="s">
        <v>31</v>
      </c>
      <c r="C208" s="310"/>
      <c r="D208" s="75"/>
      <c r="E208" s="75"/>
      <c r="F208" s="75"/>
      <c r="G208" s="100"/>
      <c r="H208" s="75"/>
      <c r="I208" s="75"/>
      <c r="J208" s="75"/>
      <c r="K208" s="75"/>
      <c r="L208" s="75"/>
      <c r="M208" s="75"/>
      <c r="N208" s="75"/>
      <c r="O208" s="75"/>
      <c r="P208" s="92"/>
      <c r="Q208" s="92"/>
    </row>
    <row r="209" spans="1:17" ht="60" x14ac:dyDescent="0.2">
      <c r="A209" s="131" t="s">
        <v>842</v>
      </c>
      <c r="B209" s="9" t="s">
        <v>843</v>
      </c>
      <c r="C209" s="59" t="s">
        <v>792</v>
      </c>
      <c r="D209" s="45">
        <f>4</f>
        <v>4</v>
      </c>
      <c r="E209" s="45">
        <f>5</f>
        <v>5</v>
      </c>
      <c r="F209" s="45">
        <f>5</f>
        <v>5</v>
      </c>
      <c r="G209" s="45">
        <f>4</f>
        <v>4</v>
      </c>
      <c r="H209" s="45">
        <f>5</f>
        <v>5</v>
      </c>
      <c r="I209" s="45">
        <f>6</f>
        <v>6</v>
      </c>
      <c r="J209" s="95">
        <f>7</f>
        <v>7</v>
      </c>
      <c r="K209" s="45">
        <f>5</f>
        <v>5</v>
      </c>
      <c r="L209" s="45">
        <f>6</f>
        <v>6</v>
      </c>
      <c r="M209" s="95">
        <f>7</f>
        <v>7</v>
      </c>
      <c r="N209" s="45">
        <f>5</f>
        <v>5</v>
      </c>
      <c r="O209" s="45">
        <f>6</f>
        <v>6</v>
      </c>
      <c r="P209" s="95">
        <f>5</f>
        <v>5</v>
      </c>
      <c r="Q209" s="95">
        <f>5</f>
        <v>5</v>
      </c>
    </row>
    <row r="210" spans="1:17" ht="45" customHeight="1" x14ac:dyDescent="0.2">
      <c r="A210" s="131" t="s">
        <v>844</v>
      </c>
      <c r="B210" s="9" t="s">
        <v>845</v>
      </c>
      <c r="C210" s="59" t="s">
        <v>846</v>
      </c>
      <c r="D210" s="45">
        <f>3</f>
        <v>3</v>
      </c>
      <c r="E210" s="45">
        <f>3</f>
        <v>3</v>
      </c>
      <c r="F210" s="45">
        <f>3</f>
        <v>3</v>
      </c>
      <c r="G210" s="45">
        <f>3</f>
        <v>3</v>
      </c>
      <c r="H210" s="45">
        <f>3</f>
        <v>3</v>
      </c>
      <c r="I210" s="45">
        <f>3</f>
        <v>3</v>
      </c>
      <c r="J210" s="45">
        <f>3</f>
        <v>3</v>
      </c>
      <c r="K210" s="45">
        <f>3</f>
        <v>3</v>
      </c>
      <c r="L210" s="45">
        <f>3</f>
        <v>3</v>
      </c>
      <c r="M210" s="45">
        <f>3</f>
        <v>3</v>
      </c>
      <c r="N210" s="45">
        <f>3</f>
        <v>3</v>
      </c>
      <c r="O210" s="45">
        <f>3</f>
        <v>3</v>
      </c>
      <c r="P210" s="45">
        <f>3</f>
        <v>3</v>
      </c>
      <c r="Q210" s="45">
        <f>3</f>
        <v>3</v>
      </c>
    </row>
    <row r="211" spans="1:17" ht="48" customHeight="1" x14ac:dyDescent="0.2">
      <c r="A211" s="131" t="s">
        <v>847</v>
      </c>
      <c r="B211" s="9" t="s">
        <v>848</v>
      </c>
      <c r="C211" s="59" t="s">
        <v>846</v>
      </c>
      <c r="D211" s="45">
        <f>3</f>
        <v>3</v>
      </c>
      <c r="E211" s="45">
        <f>4</f>
        <v>4</v>
      </c>
      <c r="F211" s="45">
        <f>4</f>
        <v>4</v>
      </c>
      <c r="G211" s="45">
        <f>4</f>
        <v>4</v>
      </c>
      <c r="H211" s="45">
        <f>4</f>
        <v>4</v>
      </c>
      <c r="I211" s="45">
        <f>4</f>
        <v>4</v>
      </c>
      <c r="J211" s="45">
        <f>4</f>
        <v>4</v>
      </c>
      <c r="K211" s="45">
        <f>4</f>
        <v>4</v>
      </c>
      <c r="L211" s="45">
        <f>4</f>
        <v>4</v>
      </c>
      <c r="M211" s="45">
        <f>4</f>
        <v>4</v>
      </c>
      <c r="N211" s="45">
        <f>4</f>
        <v>4</v>
      </c>
      <c r="O211" s="45">
        <f>4</f>
        <v>4</v>
      </c>
      <c r="P211" s="45">
        <f>4</f>
        <v>4</v>
      </c>
      <c r="Q211" s="45">
        <f>4</f>
        <v>4</v>
      </c>
    </row>
    <row r="212" spans="1:17" ht="46.5" customHeight="1" x14ac:dyDescent="0.2">
      <c r="A212" s="131" t="s">
        <v>849</v>
      </c>
      <c r="B212" s="9" t="s">
        <v>850</v>
      </c>
      <c r="C212" s="59" t="s">
        <v>846</v>
      </c>
      <c r="D212" s="45">
        <f>3</f>
        <v>3</v>
      </c>
      <c r="E212" s="45">
        <f>3</f>
        <v>3</v>
      </c>
      <c r="F212" s="45">
        <f>3</f>
        <v>3</v>
      </c>
      <c r="G212" s="45">
        <f>3</f>
        <v>3</v>
      </c>
      <c r="H212" s="45">
        <f>3</f>
        <v>3</v>
      </c>
      <c r="I212" s="45">
        <f>3</f>
        <v>3</v>
      </c>
      <c r="J212" s="45">
        <f>3</f>
        <v>3</v>
      </c>
      <c r="K212" s="45">
        <f>3</f>
        <v>3</v>
      </c>
      <c r="L212" s="45">
        <f>3</f>
        <v>3</v>
      </c>
      <c r="M212" s="45">
        <f>3</f>
        <v>3</v>
      </c>
      <c r="N212" s="45">
        <f>3</f>
        <v>3</v>
      </c>
      <c r="O212" s="45">
        <f>3</f>
        <v>3</v>
      </c>
      <c r="P212" s="45">
        <f>3</f>
        <v>3</v>
      </c>
      <c r="Q212" s="45">
        <f>3</f>
        <v>3</v>
      </c>
    </row>
    <row r="213" spans="1:17" ht="45" customHeight="1" x14ac:dyDescent="0.2">
      <c r="A213" s="131" t="s">
        <v>851</v>
      </c>
      <c r="B213" s="9" t="s">
        <v>852</v>
      </c>
      <c r="C213" s="59" t="s">
        <v>846</v>
      </c>
      <c r="D213" s="45">
        <f>3</f>
        <v>3</v>
      </c>
      <c r="E213" s="45">
        <f>3</f>
        <v>3</v>
      </c>
      <c r="F213" s="45">
        <f>3</f>
        <v>3</v>
      </c>
      <c r="G213" s="45">
        <f>3</f>
        <v>3</v>
      </c>
      <c r="H213" s="45">
        <f>3</f>
        <v>3</v>
      </c>
      <c r="I213" s="45">
        <f>3</f>
        <v>3</v>
      </c>
      <c r="J213" s="45">
        <f>3</f>
        <v>3</v>
      </c>
      <c r="K213" s="45">
        <f>3</f>
        <v>3</v>
      </c>
      <c r="L213" s="45">
        <f>3</f>
        <v>3</v>
      </c>
      <c r="M213" s="45">
        <f>3</f>
        <v>3</v>
      </c>
      <c r="N213" s="45">
        <f>3</f>
        <v>3</v>
      </c>
      <c r="O213" s="45">
        <f>3</f>
        <v>3</v>
      </c>
      <c r="P213" s="45">
        <f>3</f>
        <v>3</v>
      </c>
      <c r="Q213" s="45">
        <f>3</f>
        <v>3</v>
      </c>
    </row>
    <row r="214" spans="1:17" ht="29.25" customHeight="1" x14ac:dyDescent="0.2">
      <c r="A214" s="131" t="s">
        <v>853</v>
      </c>
      <c r="B214" s="9" t="s">
        <v>854</v>
      </c>
      <c r="C214" s="59" t="s">
        <v>855</v>
      </c>
      <c r="D214" s="45">
        <f>2</f>
        <v>2</v>
      </c>
      <c r="E214" s="45">
        <f>2</f>
        <v>2</v>
      </c>
      <c r="F214" s="45">
        <f>2</f>
        <v>2</v>
      </c>
      <c r="G214" s="45">
        <f>2</f>
        <v>2</v>
      </c>
      <c r="H214" s="45">
        <f>2</f>
        <v>2</v>
      </c>
      <c r="I214" s="45">
        <f>2</f>
        <v>2</v>
      </c>
      <c r="J214" s="45">
        <f>2</f>
        <v>2</v>
      </c>
      <c r="K214" s="45">
        <f>2</f>
        <v>2</v>
      </c>
      <c r="L214" s="45">
        <f>2</f>
        <v>2</v>
      </c>
      <c r="M214" s="45">
        <f>2</f>
        <v>2</v>
      </c>
      <c r="N214" s="45">
        <f>2</f>
        <v>2</v>
      </c>
      <c r="O214" s="45">
        <f>2</f>
        <v>2</v>
      </c>
      <c r="P214" s="45">
        <f>2</f>
        <v>2</v>
      </c>
      <c r="Q214" s="45">
        <f>2</f>
        <v>2</v>
      </c>
    </row>
    <row r="215" spans="1:17" ht="45" x14ac:dyDescent="0.2">
      <c r="A215" s="135" t="s">
        <v>856</v>
      </c>
      <c r="B215" s="9" t="s">
        <v>857</v>
      </c>
      <c r="C215" s="59" t="s">
        <v>858</v>
      </c>
      <c r="D215" s="45">
        <f>5</f>
        <v>5</v>
      </c>
      <c r="E215" s="45">
        <f>5</f>
        <v>5</v>
      </c>
      <c r="F215" s="45">
        <f>4</f>
        <v>4</v>
      </c>
      <c r="G215" s="45">
        <f>5</f>
        <v>5</v>
      </c>
      <c r="H215" s="45">
        <f>5</f>
        <v>5</v>
      </c>
      <c r="I215" s="45">
        <f>5</f>
        <v>5</v>
      </c>
      <c r="J215" s="45">
        <f>5</f>
        <v>5</v>
      </c>
      <c r="K215" s="45">
        <f>5</f>
        <v>5</v>
      </c>
      <c r="L215" s="45">
        <f>5</f>
        <v>5</v>
      </c>
      <c r="M215" s="45">
        <f>6</f>
        <v>6</v>
      </c>
      <c r="N215" s="45">
        <f>6</f>
        <v>6</v>
      </c>
      <c r="O215" s="45">
        <f>6</f>
        <v>6</v>
      </c>
      <c r="P215" s="45">
        <f>6</f>
        <v>6</v>
      </c>
      <c r="Q215" s="45">
        <f>6</f>
        <v>6</v>
      </c>
    </row>
    <row r="216" spans="1:17" ht="15.75" customHeight="1" x14ac:dyDescent="0.2">
      <c r="A216" s="136" t="s">
        <v>32</v>
      </c>
      <c r="B216" s="310" t="s">
        <v>33</v>
      </c>
      <c r="C216" s="310"/>
      <c r="D216" s="93"/>
      <c r="E216" s="93"/>
      <c r="F216" s="93"/>
      <c r="G216" s="114"/>
      <c r="H216" s="93"/>
      <c r="I216" s="93"/>
      <c r="J216" s="93"/>
      <c r="K216" s="93"/>
      <c r="L216" s="93"/>
      <c r="M216" s="93"/>
      <c r="N216" s="93"/>
      <c r="O216" s="75"/>
      <c r="P216" s="92"/>
      <c r="Q216" s="92"/>
    </row>
    <row r="217" spans="1:17" ht="30" x14ac:dyDescent="0.2">
      <c r="A217" s="23" t="s">
        <v>859</v>
      </c>
      <c r="B217" s="59" t="s">
        <v>860</v>
      </c>
      <c r="C217" s="59" t="s">
        <v>861</v>
      </c>
      <c r="D217" s="45">
        <f>9</f>
        <v>9</v>
      </c>
      <c r="E217" s="45">
        <f>9</f>
        <v>9</v>
      </c>
      <c r="F217" s="45">
        <f>9</f>
        <v>9</v>
      </c>
      <c r="G217" s="45">
        <f>9</f>
        <v>9</v>
      </c>
      <c r="H217" s="45">
        <f>9</f>
        <v>9</v>
      </c>
      <c r="I217" s="45">
        <f>9</f>
        <v>9</v>
      </c>
      <c r="J217" s="45">
        <f>9</f>
        <v>9</v>
      </c>
      <c r="K217" s="45">
        <f>9</f>
        <v>9</v>
      </c>
      <c r="L217" s="45">
        <f>9</f>
        <v>9</v>
      </c>
      <c r="M217" s="75">
        <f>10</f>
        <v>10</v>
      </c>
      <c r="N217" s="75">
        <f>10</f>
        <v>10</v>
      </c>
      <c r="O217" s="75">
        <f>10</f>
        <v>10</v>
      </c>
      <c r="P217" s="92">
        <f>11</f>
        <v>11</v>
      </c>
      <c r="Q217" s="92">
        <f>11</f>
        <v>11</v>
      </c>
    </row>
    <row r="218" spans="1:17" ht="30" x14ac:dyDescent="0.2">
      <c r="A218" s="23" t="s">
        <v>862</v>
      </c>
      <c r="B218" s="59" t="s">
        <v>863</v>
      </c>
      <c r="C218" s="157" t="s">
        <v>864</v>
      </c>
      <c r="D218" s="45">
        <f>1</f>
        <v>1</v>
      </c>
      <c r="E218" s="45">
        <f>1</f>
        <v>1</v>
      </c>
      <c r="F218" s="45">
        <f>1</f>
        <v>1</v>
      </c>
      <c r="G218" s="45">
        <f>1</f>
        <v>1</v>
      </c>
      <c r="H218" s="45">
        <f>1</f>
        <v>1</v>
      </c>
      <c r="I218" s="45">
        <f>1</f>
        <v>1</v>
      </c>
      <c r="J218" s="45">
        <f>1</f>
        <v>1</v>
      </c>
      <c r="K218" s="45">
        <f>1</f>
        <v>1</v>
      </c>
      <c r="L218" s="45">
        <f>1</f>
        <v>1</v>
      </c>
      <c r="M218" s="45">
        <f>1</f>
        <v>1</v>
      </c>
      <c r="N218" s="75">
        <f>2</f>
        <v>2</v>
      </c>
      <c r="O218" s="75">
        <f>2</f>
        <v>2</v>
      </c>
      <c r="P218" s="75">
        <f>2</f>
        <v>2</v>
      </c>
      <c r="Q218" s="75">
        <f>2</f>
        <v>2</v>
      </c>
    </row>
    <row r="219" spans="1:17" ht="60" x14ac:dyDescent="0.2">
      <c r="A219" s="23" t="s">
        <v>865</v>
      </c>
      <c r="B219" s="59" t="s">
        <v>866</v>
      </c>
      <c r="C219" s="9" t="s">
        <v>861</v>
      </c>
      <c r="D219" s="104">
        <f>7</f>
        <v>7</v>
      </c>
      <c r="E219" s="104">
        <f>6</f>
        <v>6</v>
      </c>
      <c r="F219" s="104">
        <f>6</f>
        <v>6</v>
      </c>
      <c r="G219" s="104">
        <f>6</f>
        <v>6</v>
      </c>
      <c r="H219" s="104">
        <f>6</f>
        <v>6</v>
      </c>
      <c r="I219" s="104">
        <f>6</f>
        <v>6</v>
      </c>
      <c r="J219" s="104">
        <f>6</f>
        <v>6</v>
      </c>
      <c r="K219" s="104">
        <f>6</f>
        <v>6</v>
      </c>
      <c r="L219" s="104">
        <f>6</f>
        <v>6</v>
      </c>
      <c r="M219" s="75">
        <f>7</f>
        <v>7</v>
      </c>
      <c r="N219" s="75">
        <f>7</f>
        <v>7</v>
      </c>
      <c r="O219" s="75">
        <f>8</f>
        <v>8</v>
      </c>
      <c r="P219" s="75">
        <f>8</f>
        <v>8</v>
      </c>
      <c r="Q219" s="75">
        <f>8</f>
        <v>8</v>
      </c>
    </row>
    <row r="220" spans="1:17" ht="45" x14ac:dyDescent="0.2">
      <c r="A220" s="23" t="s">
        <v>867</v>
      </c>
      <c r="B220" s="59" t="s">
        <v>868</v>
      </c>
      <c r="C220" s="9" t="s">
        <v>869</v>
      </c>
      <c r="D220" s="45">
        <f>7</f>
        <v>7</v>
      </c>
      <c r="E220" s="45">
        <f>11</f>
        <v>11</v>
      </c>
      <c r="F220" s="45">
        <f>11</f>
        <v>11</v>
      </c>
      <c r="G220" s="45">
        <f>11</f>
        <v>11</v>
      </c>
      <c r="H220" s="45">
        <f>11</f>
        <v>11</v>
      </c>
      <c r="I220" s="45">
        <f>11</f>
        <v>11</v>
      </c>
      <c r="J220" s="45">
        <f>11</f>
        <v>11</v>
      </c>
      <c r="K220" s="45">
        <f>11</f>
        <v>11</v>
      </c>
      <c r="L220" s="45">
        <f>11</f>
        <v>11</v>
      </c>
      <c r="M220" s="75">
        <f>12</f>
        <v>12</v>
      </c>
      <c r="N220" s="75">
        <f>12</f>
        <v>12</v>
      </c>
      <c r="O220" s="75">
        <f>12</f>
        <v>12</v>
      </c>
      <c r="P220" s="92">
        <f>13</f>
        <v>13</v>
      </c>
      <c r="Q220" s="92">
        <f>13</f>
        <v>13</v>
      </c>
    </row>
    <row r="221" spans="1:17" ht="105" x14ac:dyDescent="0.2">
      <c r="A221" s="137" t="s">
        <v>870</v>
      </c>
      <c r="B221" s="9" t="s">
        <v>871</v>
      </c>
      <c r="C221" s="9" t="s">
        <v>792</v>
      </c>
      <c r="D221" s="45">
        <f>3</f>
        <v>3</v>
      </c>
      <c r="E221" s="45">
        <f>4</f>
        <v>4</v>
      </c>
      <c r="F221" s="45">
        <f>3</f>
        <v>3</v>
      </c>
      <c r="G221" s="45">
        <f>3</f>
        <v>3</v>
      </c>
      <c r="H221" s="45">
        <f>2</f>
        <v>2</v>
      </c>
      <c r="I221" s="45">
        <f>4</f>
        <v>4</v>
      </c>
      <c r="J221" s="95">
        <f>4</f>
        <v>4</v>
      </c>
      <c r="K221" s="95">
        <f>2</f>
        <v>2</v>
      </c>
      <c r="L221" s="95">
        <f>3</f>
        <v>3</v>
      </c>
      <c r="M221" s="95">
        <f>3</f>
        <v>3</v>
      </c>
      <c r="N221" s="95">
        <f>4</f>
        <v>4</v>
      </c>
      <c r="O221" s="95">
        <f>4</f>
        <v>4</v>
      </c>
      <c r="P221" s="95">
        <f>2</f>
        <v>2</v>
      </c>
      <c r="Q221" s="95">
        <f>2</f>
        <v>2</v>
      </c>
    </row>
    <row r="222" spans="1:17" ht="15" x14ac:dyDescent="0.2">
      <c r="A222" s="138" t="s">
        <v>148</v>
      </c>
      <c r="B222" s="9" t="s">
        <v>149</v>
      </c>
      <c r="C222" s="9"/>
      <c r="D222" s="139"/>
      <c r="E222" s="139"/>
      <c r="F222" s="139"/>
      <c r="G222" s="140"/>
      <c r="H222" s="139"/>
      <c r="I222" s="139"/>
      <c r="J222" s="139"/>
      <c r="K222" s="139"/>
      <c r="L222" s="139"/>
      <c r="M222" s="139"/>
      <c r="N222" s="139"/>
      <c r="O222" s="75"/>
      <c r="P222" s="92"/>
      <c r="Q222" s="92"/>
    </row>
    <row r="223" spans="1:17" ht="75" x14ac:dyDescent="0.2">
      <c r="A223" s="141" t="s">
        <v>910</v>
      </c>
      <c r="B223" s="142" t="s">
        <v>911</v>
      </c>
      <c r="C223" s="142" t="s">
        <v>864</v>
      </c>
      <c r="D223" s="93">
        <f>1</f>
        <v>1</v>
      </c>
      <c r="E223" s="93">
        <f>1+1</f>
        <v>2</v>
      </c>
      <c r="F223" s="93">
        <f t="shared" ref="F223:Q223" si="20">1+1</f>
        <v>2</v>
      </c>
      <c r="G223" s="93">
        <f t="shared" si="20"/>
        <v>2</v>
      </c>
      <c r="H223" s="93">
        <f t="shared" si="20"/>
        <v>2</v>
      </c>
      <c r="I223" s="93">
        <f t="shared" si="20"/>
        <v>2</v>
      </c>
      <c r="J223" s="93">
        <f t="shared" si="20"/>
        <v>2</v>
      </c>
      <c r="K223" s="93">
        <f t="shared" si="20"/>
        <v>2</v>
      </c>
      <c r="L223" s="93">
        <f t="shared" si="20"/>
        <v>2</v>
      </c>
      <c r="M223" s="93">
        <f t="shared" si="20"/>
        <v>2</v>
      </c>
      <c r="N223" s="93">
        <f t="shared" si="20"/>
        <v>2</v>
      </c>
      <c r="O223" s="93">
        <f t="shared" si="20"/>
        <v>2</v>
      </c>
      <c r="P223" s="93">
        <f t="shared" si="20"/>
        <v>2</v>
      </c>
      <c r="Q223" s="93">
        <f t="shared" si="20"/>
        <v>2</v>
      </c>
    </row>
    <row r="224" spans="1:17" ht="45" x14ac:dyDescent="0.2">
      <c r="A224" s="138" t="s">
        <v>872</v>
      </c>
      <c r="B224" s="9" t="s">
        <v>873</v>
      </c>
      <c r="C224" s="9" t="s">
        <v>874</v>
      </c>
      <c r="D224" s="45">
        <f>13</f>
        <v>13</v>
      </c>
      <c r="E224" s="93">
        <f>2+19+2</f>
        <v>23</v>
      </c>
      <c r="F224" s="93">
        <f>1+19+1</f>
        <v>21</v>
      </c>
      <c r="G224" s="93">
        <f>1+18+1</f>
        <v>20</v>
      </c>
      <c r="H224" s="93">
        <f>1+23+1</f>
        <v>25</v>
      </c>
      <c r="I224" s="93">
        <f>1+22+1</f>
        <v>24</v>
      </c>
      <c r="J224" s="93">
        <f>1+22+1</f>
        <v>24</v>
      </c>
      <c r="K224" s="93">
        <f>1+18+1</f>
        <v>20</v>
      </c>
      <c r="L224" s="93">
        <f>1+20+1</f>
        <v>22</v>
      </c>
      <c r="M224" s="93">
        <f>1+23+1</f>
        <v>25</v>
      </c>
      <c r="N224" s="93">
        <f>1+22+1</f>
        <v>24</v>
      </c>
      <c r="O224" s="93">
        <f>1+21+1</f>
        <v>23</v>
      </c>
      <c r="P224" s="93">
        <f>1+23+1</f>
        <v>25</v>
      </c>
      <c r="Q224" s="93">
        <f>23+1</f>
        <v>24</v>
      </c>
    </row>
    <row r="225" spans="1:17" ht="45" x14ac:dyDescent="0.2">
      <c r="A225" s="138" t="s">
        <v>875</v>
      </c>
      <c r="B225" s="9" t="s">
        <v>876</v>
      </c>
      <c r="C225" s="9" t="s">
        <v>877</v>
      </c>
      <c r="D225" s="45">
        <f>5</f>
        <v>5</v>
      </c>
      <c r="E225" s="45">
        <f>6</f>
        <v>6</v>
      </c>
      <c r="F225" s="45">
        <f>5</f>
        <v>5</v>
      </c>
      <c r="G225" s="45">
        <f>6</f>
        <v>6</v>
      </c>
      <c r="H225" s="45">
        <f>7</f>
        <v>7</v>
      </c>
      <c r="I225" s="45">
        <f>7</f>
        <v>7</v>
      </c>
      <c r="J225" s="95">
        <f>6</f>
        <v>6</v>
      </c>
      <c r="K225" s="95">
        <f>6</f>
        <v>6</v>
      </c>
      <c r="L225" s="95">
        <f>5</f>
        <v>5</v>
      </c>
      <c r="M225" s="95">
        <f>5</f>
        <v>5</v>
      </c>
      <c r="N225" s="95">
        <f>8</f>
        <v>8</v>
      </c>
      <c r="O225" s="95">
        <f>6</f>
        <v>6</v>
      </c>
      <c r="P225" s="95">
        <f>7</f>
        <v>7</v>
      </c>
      <c r="Q225" s="95">
        <f>7</f>
        <v>7</v>
      </c>
    </row>
    <row r="226" spans="1:17" ht="24" customHeight="1" x14ac:dyDescent="0.2">
      <c r="A226" s="102" t="s">
        <v>343</v>
      </c>
      <c r="B226" s="319" t="s">
        <v>344</v>
      </c>
      <c r="C226" s="320"/>
      <c r="D226" s="127"/>
      <c r="E226" s="127"/>
      <c r="F226" s="127"/>
      <c r="G226" s="128"/>
      <c r="H226" s="127"/>
      <c r="I226" s="127"/>
      <c r="J226" s="127"/>
      <c r="K226" s="127"/>
      <c r="L226" s="127"/>
      <c r="M226" s="127"/>
      <c r="N226" s="127"/>
      <c r="O226" s="75"/>
      <c r="P226" s="92"/>
      <c r="Q226" s="92"/>
    </row>
    <row r="227" spans="1:17" ht="48.75" customHeight="1" x14ac:dyDescent="0.2">
      <c r="A227" s="102" t="s">
        <v>1130</v>
      </c>
      <c r="B227" s="59" t="s">
        <v>1128</v>
      </c>
      <c r="C227" s="59" t="s">
        <v>1132</v>
      </c>
      <c r="D227" s="127"/>
      <c r="E227" s="127">
        <f>2</f>
        <v>2</v>
      </c>
      <c r="F227" s="127">
        <f>1</f>
        <v>1</v>
      </c>
      <c r="G227" s="128">
        <f>2</f>
        <v>2</v>
      </c>
      <c r="H227" s="128">
        <f>2</f>
        <v>2</v>
      </c>
      <c r="I227" s="127">
        <f>1</f>
        <v>1</v>
      </c>
      <c r="J227" s="127">
        <f>1</f>
        <v>1</v>
      </c>
      <c r="K227" s="127">
        <f>1</f>
        <v>1</v>
      </c>
      <c r="L227" s="127"/>
      <c r="M227" s="127">
        <f>1</f>
        <v>1</v>
      </c>
      <c r="N227" s="127"/>
      <c r="O227" s="75"/>
      <c r="P227" s="92">
        <f>1</f>
        <v>1</v>
      </c>
      <c r="Q227" s="92"/>
    </row>
    <row r="228" spans="1:17" ht="44.25" customHeight="1" x14ac:dyDescent="0.2">
      <c r="A228" s="102" t="s">
        <v>1131</v>
      </c>
      <c r="B228" s="59" t="s">
        <v>1129</v>
      </c>
      <c r="C228" s="59" t="s">
        <v>1133</v>
      </c>
      <c r="D228" s="127"/>
      <c r="E228" s="127">
        <f>1</f>
        <v>1</v>
      </c>
      <c r="F228" s="127"/>
      <c r="G228" s="128">
        <f>1</f>
        <v>1</v>
      </c>
      <c r="H228" s="127"/>
      <c r="I228" s="127"/>
      <c r="J228" s="127">
        <f>1</f>
        <v>1</v>
      </c>
      <c r="K228" s="127"/>
      <c r="L228" s="127"/>
      <c r="M228" s="127"/>
      <c r="N228" s="127">
        <f>1</f>
        <v>1</v>
      </c>
      <c r="O228" s="75"/>
      <c r="P228" s="92"/>
      <c r="Q228" s="92"/>
    </row>
    <row r="229" spans="1:17" ht="44.25" customHeight="1" x14ac:dyDescent="0.2">
      <c r="A229" s="102" t="s">
        <v>878</v>
      </c>
      <c r="B229" s="59" t="s">
        <v>879</v>
      </c>
      <c r="C229" s="59" t="s">
        <v>880</v>
      </c>
      <c r="D229" s="20">
        <f>4</f>
        <v>4</v>
      </c>
      <c r="E229" s="127">
        <f>1+4</f>
        <v>5</v>
      </c>
      <c r="F229" s="20">
        <f>5</f>
        <v>5</v>
      </c>
      <c r="G229" s="45">
        <f>4</f>
        <v>4</v>
      </c>
      <c r="H229" s="20">
        <f>3</f>
        <v>3</v>
      </c>
      <c r="I229" s="20">
        <f>1+4</f>
        <v>5</v>
      </c>
      <c r="J229" s="97">
        <f>4</f>
        <v>4</v>
      </c>
      <c r="K229" s="97">
        <f>5</f>
        <v>5</v>
      </c>
      <c r="L229" s="97">
        <f>5</f>
        <v>5</v>
      </c>
      <c r="M229" s="97">
        <f>1+3</f>
        <v>4</v>
      </c>
      <c r="N229" s="97">
        <f>3</f>
        <v>3</v>
      </c>
      <c r="O229" s="97">
        <f>4</f>
        <v>4</v>
      </c>
      <c r="P229" s="97">
        <f>1+5</f>
        <v>6</v>
      </c>
      <c r="Q229" s="97">
        <f>4</f>
        <v>4</v>
      </c>
    </row>
    <row r="230" spans="1:17" s="15" customFormat="1" ht="45" x14ac:dyDescent="0.2">
      <c r="A230" s="23" t="s">
        <v>881</v>
      </c>
      <c r="B230" s="14" t="s">
        <v>882</v>
      </c>
      <c r="C230" s="14" t="s">
        <v>883</v>
      </c>
      <c r="D230" s="32">
        <f>6</f>
        <v>6</v>
      </c>
      <c r="E230" s="32">
        <f>3</f>
        <v>3</v>
      </c>
      <c r="F230" s="32">
        <f>3</f>
        <v>3</v>
      </c>
      <c r="G230" s="32">
        <f>3</f>
        <v>3</v>
      </c>
      <c r="H230" s="32">
        <f>3</f>
        <v>3</v>
      </c>
      <c r="I230" s="32">
        <f>3</f>
        <v>3</v>
      </c>
      <c r="J230" s="32">
        <f>3</f>
        <v>3</v>
      </c>
      <c r="K230" s="32">
        <f>3</f>
        <v>3</v>
      </c>
      <c r="L230" s="32">
        <f>3</f>
        <v>3</v>
      </c>
      <c r="M230" s="21">
        <f>4</f>
        <v>4</v>
      </c>
      <c r="N230" s="21">
        <f>4</f>
        <v>4</v>
      </c>
      <c r="O230" s="20">
        <f>5</f>
        <v>5</v>
      </c>
      <c r="P230" s="20">
        <f>5</f>
        <v>5</v>
      </c>
      <c r="Q230" s="20">
        <f>5</f>
        <v>5</v>
      </c>
    </row>
    <row r="231" spans="1:17" s="15" customFormat="1" ht="22.5" customHeight="1" x14ac:dyDescent="0.2">
      <c r="A231" s="23" t="s">
        <v>115</v>
      </c>
      <c r="B231" s="270" t="s">
        <v>109</v>
      </c>
      <c r="C231" s="271"/>
      <c r="D231" s="143"/>
      <c r="E231" s="143"/>
      <c r="F231" s="143"/>
      <c r="G231" s="144"/>
      <c r="H231" s="143"/>
      <c r="I231" s="143"/>
      <c r="J231" s="143"/>
      <c r="K231" s="143"/>
      <c r="L231" s="143"/>
      <c r="M231" s="21"/>
      <c r="N231" s="21"/>
      <c r="O231" s="20"/>
      <c r="P231" s="145"/>
      <c r="Q231" s="145"/>
    </row>
    <row r="232" spans="1:17" s="15" customFormat="1" ht="15" x14ac:dyDescent="0.2">
      <c r="A232" s="23" t="s">
        <v>1135</v>
      </c>
      <c r="B232" s="14" t="s">
        <v>1134</v>
      </c>
      <c r="C232" s="14" t="s">
        <v>864</v>
      </c>
      <c r="D232" s="143"/>
      <c r="E232" s="143">
        <f>1</f>
        <v>1</v>
      </c>
      <c r="F232" s="143"/>
      <c r="G232" s="144"/>
      <c r="H232" s="143">
        <f>1</f>
        <v>1</v>
      </c>
      <c r="I232" s="143"/>
      <c r="J232" s="143"/>
      <c r="K232" s="143">
        <f>1</f>
        <v>1</v>
      </c>
      <c r="L232" s="143"/>
      <c r="M232" s="21"/>
      <c r="N232" s="21">
        <f>1</f>
        <v>1</v>
      </c>
      <c r="O232" s="20"/>
      <c r="P232" s="145"/>
      <c r="Q232" s="145"/>
    </row>
    <row r="233" spans="1:17" ht="15" customHeight="1" x14ac:dyDescent="0.2">
      <c r="A233" s="102" t="s">
        <v>357</v>
      </c>
      <c r="B233" s="309" t="s">
        <v>358</v>
      </c>
      <c r="C233" s="309"/>
      <c r="D233" s="127"/>
      <c r="E233" s="127"/>
      <c r="F233" s="127"/>
      <c r="G233" s="128"/>
      <c r="H233" s="127"/>
      <c r="I233" s="127"/>
      <c r="J233" s="127"/>
      <c r="K233" s="127"/>
      <c r="L233" s="127"/>
      <c r="M233" s="127"/>
      <c r="N233" s="127"/>
      <c r="O233" s="75"/>
      <c r="P233" s="92"/>
      <c r="Q233" s="92"/>
    </row>
    <row r="234" spans="1:17" ht="60" x14ac:dyDescent="0.2">
      <c r="A234" s="102" t="s">
        <v>884</v>
      </c>
      <c r="B234" s="59" t="s">
        <v>885</v>
      </c>
      <c r="C234" s="59" t="s">
        <v>886</v>
      </c>
      <c r="D234" s="43">
        <f>1</f>
        <v>1</v>
      </c>
      <c r="E234" s="43">
        <f>1</f>
        <v>1</v>
      </c>
      <c r="F234" s="43">
        <f>1</f>
        <v>1</v>
      </c>
      <c r="G234" s="43">
        <f>1</f>
        <v>1</v>
      </c>
      <c r="H234" s="43">
        <f>1</f>
        <v>1</v>
      </c>
      <c r="I234" s="43">
        <f>1</f>
        <v>1</v>
      </c>
      <c r="J234" s="43">
        <f>1</f>
        <v>1</v>
      </c>
      <c r="K234" s="43">
        <f>1</f>
        <v>1</v>
      </c>
      <c r="L234" s="43">
        <f>1</f>
        <v>1</v>
      </c>
      <c r="M234" s="43">
        <f>1</f>
        <v>1</v>
      </c>
      <c r="N234" s="43">
        <f>1</f>
        <v>1</v>
      </c>
      <c r="O234" s="43">
        <f>1</f>
        <v>1</v>
      </c>
      <c r="P234" s="43">
        <f>1</f>
        <v>1</v>
      </c>
      <c r="Q234" s="43">
        <f>1</f>
        <v>1</v>
      </c>
    </row>
    <row r="235" spans="1:17" s="74" customFormat="1" ht="27.75" customHeight="1" x14ac:dyDescent="0.2">
      <c r="A235" s="359" t="s">
        <v>1191</v>
      </c>
      <c r="B235" s="360"/>
      <c r="C235" s="361"/>
      <c r="D235" s="71">
        <f>SUM(D184:D234)</f>
        <v>476</v>
      </c>
      <c r="E235" s="71">
        <f t="shared" ref="E235:Q235" si="21">SUM(E184:E234)</f>
        <v>436</v>
      </c>
      <c r="F235" s="71">
        <f t="shared" si="21"/>
        <v>395</v>
      </c>
      <c r="G235" s="71">
        <f t="shared" si="21"/>
        <v>398</v>
      </c>
      <c r="H235" s="71">
        <f t="shared" si="21"/>
        <v>413</v>
      </c>
      <c r="I235" s="71">
        <f t="shared" si="21"/>
        <v>399</v>
      </c>
      <c r="J235" s="71">
        <f t="shared" si="21"/>
        <v>420</v>
      </c>
      <c r="K235" s="71">
        <f t="shared" si="21"/>
        <v>395</v>
      </c>
      <c r="L235" s="71">
        <f t="shared" si="21"/>
        <v>395</v>
      </c>
      <c r="M235" s="71">
        <f t="shared" si="21"/>
        <v>415</v>
      </c>
      <c r="N235" s="71">
        <f t="shared" si="21"/>
        <v>396</v>
      </c>
      <c r="O235" s="71">
        <f t="shared" si="21"/>
        <v>398</v>
      </c>
      <c r="P235" s="71">
        <f t="shared" si="21"/>
        <v>400</v>
      </c>
      <c r="Q235" s="71">
        <f t="shared" si="21"/>
        <v>398</v>
      </c>
    </row>
    <row r="236" spans="1:17" s="12" customFormat="1" ht="14.25" customHeight="1" x14ac:dyDescent="0.2">
      <c r="A236" s="348" t="s">
        <v>55</v>
      </c>
      <c r="B236" s="349"/>
      <c r="C236" s="350"/>
      <c r="D236" s="146"/>
      <c r="E236" s="146"/>
      <c r="F236" s="146"/>
      <c r="G236" s="147"/>
      <c r="H236" s="146"/>
      <c r="I236" s="146"/>
      <c r="J236" s="146"/>
      <c r="K236" s="146"/>
      <c r="L236" s="146"/>
      <c r="M236" s="146"/>
      <c r="N236" s="146"/>
      <c r="O236" s="148"/>
      <c r="P236" s="146"/>
      <c r="Q236" s="146"/>
    </row>
    <row r="237" spans="1:17" s="12" customFormat="1" ht="14.25" customHeight="1" x14ac:dyDescent="0.2">
      <c r="A237" s="9" t="s">
        <v>56</v>
      </c>
      <c r="B237" s="312" t="s">
        <v>57</v>
      </c>
      <c r="C237" s="313"/>
      <c r="D237" s="148"/>
      <c r="E237" s="148"/>
      <c r="F237" s="148"/>
      <c r="G237" s="149"/>
      <c r="H237" s="148"/>
      <c r="I237" s="148"/>
      <c r="J237" s="148"/>
      <c r="K237" s="148"/>
      <c r="L237" s="148"/>
      <c r="M237" s="148"/>
      <c r="N237" s="148"/>
      <c r="O237" s="148"/>
      <c r="P237" s="146"/>
      <c r="Q237" s="146"/>
    </row>
    <row r="238" spans="1:17" s="12" customFormat="1" ht="14.25" customHeight="1" x14ac:dyDescent="0.2">
      <c r="A238" s="9" t="s">
        <v>933</v>
      </c>
      <c r="B238" s="9" t="s">
        <v>934</v>
      </c>
      <c r="C238" s="9" t="s">
        <v>935</v>
      </c>
      <c r="D238" s="93">
        <f>42</f>
        <v>42</v>
      </c>
      <c r="E238" s="93">
        <f>38</f>
        <v>38</v>
      </c>
      <c r="F238" s="93">
        <f>36</f>
        <v>36</v>
      </c>
      <c r="G238" s="114">
        <f>35</f>
        <v>35</v>
      </c>
      <c r="H238" s="114">
        <f>35</f>
        <v>35</v>
      </c>
      <c r="I238" s="114">
        <f>35</f>
        <v>35</v>
      </c>
      <c r="J238" s="93">
        <f>33</f>
        <v>33</v>
      </c>
      <c r="K238" s="93">
        <f>32</f>
        <v>32</v>
      </c>
      <c r="L238" s="93">
        <f>32</f>
        <v>32</v>
      </c>
      <c r="M238" s="93">
        <f>30</f>
        <v>30</v>
      </c>
      <c r="N238" s="93">
        <f>30</f>
        <v>30</v>
      </c>
      <c r="O238" s="93">
        <f>30</f>
        <v>30</v>
      </c>
      <c r="P238" s="92">
        <f>29</f>
        <v>29</v>
      </c>
      <c r="Q238" s="92">
        <f>28</f>
        <v>28</v>
      </c>
    </row>
    <row r="239" spans="1:17" s="12" customFormat="1" ht="18" customHeight="1" x14ac:dyDescent="0.2">
      <c r="A239" s="9" t="s">
        <v>936</v>
      </c>
      <c r="B239" s="9" t="s">
        <v>937</v>
      </c>
      <c r="C239" s="9" t="s">
        <v>938</v>
      </c>
      <c r="D239" s="93">
        <f>33</f>
        <v>33</v>
      </c>
      <c r="E239" s="93">
        <f>30</f>
        <v>30</v>
      </c>
      <c r="F239" s="92">
        <f>28</f>
        <v>28</v>
      </c>
      <c r="G239" s="114">
        <f>27</f>
        <v>27</v>
      </c>
      <c r="H239" s="114">
        <f>27</f>
        <v>27</v>
      </c>
      <c r="I239" s="93">
        <f>25</f>
        <v>25</v>
      </c>
      <c r="J239" s="93">
        <f>23</f>
        <v>23</v>
      </c>
      <c r="K239" s="93">
        <f>22</f>
        <v>22</v>
      </c>
      <c r="L239" s="93">
        <f>22</f>
        <v>22</v>
      </c>
      <c r="M239" s="93">
        <f>21</f>
        <v>21</v>
      </c>
      <c r="N239" s="93">
        <f>21</f>
        <v>21</v>
      </c>
      <c r="O239" s="75">
        <f>20</f>
        <v>20</v>
      </c>
      <c r="P239" s="75">
        <f>20</f>
        <v>20</v>
      </c>
      <c r="Q239" s="75">
        <f>20</f>
        <v>20</v>
      </c>
    </row>
    <row r="240" spans="1:17" s="12" customFormat="1" ht="33.75" customHeight="1" x14ac:dyDescent="0.2">
      <c r="A240" s="9" t="s">
        <v>939</v>
      </c>
      <c r="B240" s="9" t="s">
        <v>940</v>
      </c>
      <c r="C240" s="9" t="s">
        <v>941</v>
      </c>
      <c r="D240" s="93">
        <f>39</f>
        <v>39</v>
      </c>
      <c r="E240" s="93">
        <f>35</f>
        <v>35</v>
      </c>
      <c r="F240" s="93">
        <f>32</f>
        <v>32</v>
      </c>
      <c r="G240" s="114">
        <f>31</f>
        <v>31</v>
      </c>
      <c r="H240" s="114">
        <f>31</f>
        <v>31</v>
      </c>
      <c r="I240" s="93">
        <f>30</f>
        <v>30</v>
      </c>
      <c r="J240" s="93">
        <f>30</f>
        <v>30</v>
      </c>
      <c r="K240" s="92">
        <f>29</f>
        <v>29</v>
      </c>
      <c r="L240" s="114">
        <f>27</f>
        <v>27</v>
      </c>
      <c r="M240" s="114">
        <f>27</f>
        <v>27</v>
      </c>
      <c r="N240" s="93">
        <f>26</f>
        <v>26</v>
      </c>
      <c r="O240" s="75">
        <f>26</f>
        <v>26</v>
      </c>
      <c r="P240" s="75">
        <f>25</f>
        <v>25</v>
      </c>
      <c r="Q240" s="75">
        <f>25</f>
        <v>25</v>
      </c>
    </row>
    <row r="241" spans="1:17" s="12" customFormat="1" ht="30" customHeight="1" x14ac:dyDescent="0.2">
      <c r="A241" s="9" t="s">
        <v>942</v>
      </c>
      <c r="B241" s="9" t="s">
        <v>943</v>
      </c>
      <c r="C241" s="9" t="s">
        <v>944</v>
      </c>
      <c r="D241" s="93">
        <f>18</f>
        <v>18</v>
      </c>
      <c r="E241" s="93">
        <f>15</f>
        <v>15</v>
      </c>
      <c r="F241" s="93">
        <f>15</f>
        <v>15</v>
      </c>
      <c r="G241" s="93">
        <f>15</f>
        <v>15</v>
      </c>
      <c r="H241" s="93">
        <f>15</f>
        <v>15</v>
      </c>
      <c r="I241" s="93">
        <f>14</f>
        <v>14</v>
      </c>
      <c r="J241" s="93">
        <f>14</f>
        <v>14</v>
      </c>
      <c r="K241" s="93">
        <f>14</f>
        <v>14</v>
      </c>
      <c r="L241" s="93">
        <f>13</f>
        <v>13</v>
      </c>
      <c r="M241" s="93">
        <f>13</f>
        <v>13</v>
      </c>
      <c r="N241" s="93">
        <f>12</f>
        <v>12</v>
      </c>
      <c r="O241" s="93">
        <f>12</f>
        <v>12</v>
      </c>
      <c r="P241" s="93">
        <f>12</f>
        <v>12</v>
      </c>
      <c r="Q241" s="93">
        <f>12</f>
        <v>12</v>
      </c>
    </row>
    <row r="242" spans="1:17" s="12" customFormat="1" ht="21" customHeight="1" x14ac:dyDescent="0.2">
      <c r="A242" s="59" t="s">
        <v>945</v>
      </c>
      <c r="B242" s="319" t="s">
        <v>946</v>
      </c>
      <c r="C242" s="320"/>
      <c r="D242" s="148"/>
      <c r="E242" s="148"/>
      <c r="F242" s="148"/>
      <c r="G242" s="149"/>
      <c r="H242" s="148"/>
      <c r="I242" s="148"/>
      <c r="J242" s="148"/>
      <c r="K242" s="148"/>
      <c r="L242" s="148"/>
      <c r="M242" s="148"/>
      <c r="N242" s="148"/>
      <c r="O242" s="148"/>
      <c r="P242" s="148"/>
      <c r="Q242" s="148"/>
    </row>
    <row r="243" spans="1:17" s="12" customFormat="1" ht="30" customHeight="1" x14ac:dyDescent="0.2">
      <c r="A243" s="59" t="s">
        <v>947</v>
      </c>
      <c r="B243" s="59" t="s">
        <v>948</v>
      </c>
      <c r="C243" s="59" t="s">
        <v>949</v>
      </c>
      <c r="D243" s="75">
        <f>156</f>
        <v>156</v>
      </c>
      <c r="E243" s="75">
        <f>136</f>
        <v>136</v>
      </c>
      <c r="F243" s="75">
        <f>130</f>
        <v>130</v>
      </c>
      <c r="G243" s="100">
        <f>130</f>
        <v>130</v>
      </c>
      <c r="H243" s="75">
        <f>128</f>
        <v>128</v>
      </c>
      <c r="I243" s="75">
        <f>126</f>
        <v>126</v>
      </c>
      <c r="J243" s="75">
        <f>120</f>
        <v>120</v>
      </c>
      <c r="K243" s="75">
        <f>120</f>
        <v>120</v>
      </c>
      <c r="L243" s="75">
        <f>118</f>
        <v>118</v>
      </c>
      <c r="M243" s="75">
        <f>118</f>
        <v>118</v>
      </c>
      <c r="N243" s="75">
        <f>116</f>
        <v>116</v>
      </c>
      <c r="O243" s="75">
        <f>116</f>
        <v>116</v>
      </c>
      <c r="P243" s="92">
        <f>114</f>
        <v>114</v>
      </c>
      <c r="Q243" s="92">
        <f>112</f>
        <v>112</v>
      </c>
    </row>
    <row r="244" spans="1:17" s="12" customFormat="1" ht="48.75" customHeight="1" x14ac:dyDescent="0.2">
      <c r="A244" s="59" t="s">
        <v>950</v>
      </c>
      <c r="B244" s="59" t="s">
        <v>951</v>
      </c>
      <c r="C244" s="59" t="s">
        <v>952</v>
      </c>
      <c r="D244" s="75">
        <f>23</f>
        <v>23</v>
      </c>
      <c r="E244" s="75">
        <f>20</f>
        <v>20</v>
      </c>
      <c r="F244" s="75">
        <f>20</f>
        <v>20</v>
      </c>
      <c r="G244" s="75">
        <f>20</f>
        <v>20</v>
      </c>
      <c r="H244" s="75">
        <f>18</f>
        <v>18</v>
      </c>
      <c r="I244" s="75">
        <f>18</f>
        <v>18</v>
      </c>
      <c r="J244" s="75">
        <f>18</f>
        <v>18</v>
      </c>
      <c r="K244" s="75">
        <f>17</f>
        <v>17</v>
      </c>
      <c r="L244" s="75">
        <f>16</f>
        <v>16</v>
      </c>
      <c r="M244" s="75">
        <f>16</f>
        <v>16</v>
      </c>
      <c r="N244" s="75">
        <f>16</f>
        <v>16</v>
      </c>
      <c r="O244" s="75">
        <f>15</f>
        <v>15</v>
      </c>
      <c r="P244" s="92">
        <f>15</f>
        <v>15</v>
      </c>
      <c r="Q244" s="92">
        <f>12</f>
        <v>12</v>
      </c>
    </row>
    <row r="245" spans="1:17" s="74" customFormat="1" ht="18.75" customHeight="1" x14ac:dyDescent="0.2">
      <c r="A245" s="321" t="s">
        <v>1205</v>
      </c>
      <c r="B245" s="322"/>
      <c r="C245" s="323"/>
      <c r="D245" s="76">
        <f>SUM(D237:D244)</f>
        <v>311</v>
      </c>
      <c r="E245" s="76">
        <f t="shared" ref="E245:Q245" si="22">SUM(E237:E244)</f>
        <v>274</v>
      </c>
      <c r="F245" s="76">
        <f t="shared" si="22"/>
        <v>261</v>
      </c>
      <c r="G245" s="76">
        <f t="shared" si="22"/>
        <v>258</v>
      </c>
      <c r="H245" s="76">
        <f t="shared" si="22"/>
        <v>254</v>
      </c>
      <c r="I245" s="76">
        <f t="shared" si="22"/>
        <v>248</v>
      </c>
      <c r="J245" s="76">
        <f t="shared" si="22"/>
        <v>238</v>
      </c>
      <c r="K245" s="76">
        <f t="shared" si="22"/>
        <v>234</v>
      </c>
      <c r="L245" s="76">
        <f t="shared" si="22"/>
        <v>228</v>
      </c>
      <c r="M245" s="76">
        <f t="shared" si="22"/>
        <v>225</v>
      </c>
      <c r="N245" s="76">
        <f t="shared" si="22"/>
        <v>221</v>
      </c>
      <c r="O245" s="76">
        <f t="shared" si="22"/>
        <v>219</v>
      </c>
      <c r="P245" s="76">
        <f t="shared" si="22"/>
        <v>215</v>
      </c>
      <c r="Q245" s="76">
        <f t="shared" si="22"/>
        <v>209</v>
      </c>
    </row>
    <row r="246" spans="1:17" ht="30.75" customHeight="1" x14ac:dyDescent="0.2">
      <c r="A246" s="346" t="s">
        <v>36</v>
      </c>
      <c r="B246" s="346"/>
      <c r="C246" s="346"/>
      <c r="D246" s="75"/>
      <c r="E246" s="75"/>
      <c r="F246" s="75"/>
      <c r="G246" s="100"/>
      <c r="H246" s="75"/>
      <c r="I246" s="75"/>
      <c r="J246" s="75"/>
      <c r="K246" s="75"/>
      <c r="L246" s="75"/>
      <c r="M246" s="75"/>
      <c r="N246" s="75"/>
      <c r="O246" s="75"/>
      <c r="P246" s="92"/>
      <c r="Q246" s="92"/>
    </row>
    <row r="247" spans="1:17" ht="15" x14ac:dyDescent="0.2">
      <c r="A247" s="59" t="s">
        <v>16</v>
      </c>
      <c r="B247" s="309" t="s">
        <v>17</v>
      </c>
      <c r="C247" s="309"/>
      <c r="D247" s="75"/>
      <c r="E247" s="75"/>
      <c r="F247" s="75"/>
      <c r="G247" s="100"/>
      <c r="H247" s="75"/>
      <c r="I247" s="75"/>
      <c r="J247" s="75"/>
      <c r="K247" s="75"/>
      <c r="L247" s="75"/>
      <c r="M247" s="75"/>
      <c r="N247" s="75"/>
      <c r="O247" s="75"/>
      <c r="P247" s="108"/>
      <c r="Q247" s="108"/>
    </row>
    <row r="248" spans="1:17" ht="66.75" customHeight="1" x14ac:dyDescent="0.2">
      <c r="A248" s="59" t="s">
        <v>1044</v>
      </c>
      <c r="B248" s="59" t="s">
        <v>293</v>
      </c>
      <c r="C248" s="59" t="s">
        <v>1045</v>
      </c>
      <c r="D248" s="75">
        <f>54</f>
        <v>54</v>
      </c>
      <c r="E248" s="75">
        <f>54</f>
        <v>54</v>
      </c>
      <c r="F248" s="75">
        <f>54</f>
        <v>54</v>
      </c>
      <c r="G248" s="75">
        <f>54</f>
        <v>54</v>
      </c>
      <c r="H248" s="75">
        <f>54</f>
        <v>54</v>
      </c>
      <c r="I248" s="75">
        <f>54</f>
        <v>54</v>
      </c>
      <c r="J248" s="75">
        <f>54</f>
        <v>54</v>
      </c>
      <c r="K248" s="75">
        <f>54</f>
        <v>54</v>
      </c>
      <c r="L248" s="75">
        <f>54</f>
        <v>54</v>
      </c>
      <c r="M248" s="75">
        <f>54</f>
        <v>54</v>
      </c>
      <c r="N248" s="75">
        <f>54</f>
        <v>54</v>
      </c>
      <c r="O248" s="75">
        <f>54</f>
        <v>54</v>
      </c>
      <c r="P248" s="75">
        <f>54</f>
        <v>54</v>
      </c>
      <c r="Q248" s="75">
        <f>54</f>
        <v>54</v>
      </c>
    </row>
    <row r="249" spans="1:17" s="12" customFormat="1" ht="45" x14ac:dyDescent="0.2">
      <c r="A249" s="59" t="s">
        <v>1046</v>
      </c>
      <c r="B249" s="59" t="s">
        <v>1047</v>
      </c>
      <c r="C249" s="59" t="s">
        <v>1048</v>
      </c>
      <c r="D249" s="75">
        <f>54</f>
        <v>54</v>
      </c>
      <c r="E249" s="75">
        <f>54</f>
        <v>54</v>
      </c>
      <c r="F249" s="75">
        <f>54</f>
        <v>54</v>
      </c>
      <c r="G249" s="75">
        <f>54</f>
        <v>54</v>
      </c>
      <c r="H249" s="75">
        <f>54</f>
        <v>54</v>
      </c>
      <c r="I249" s="75">
        <f>54</f>
        <v>54</v>
      </c>
      <c r="J249" s="75">
        <f>54</f>
        <v>54</v>
      </c>
      <c r="K249" s="75">
        <f>54</f>
        <v>54</v>
      </c>
      <c r="L249" s="75">
        <f>54</f>
        <v>54</v>
      </c>
      <c r="M249" s="75">
        <f>54</f>
        <v>54</v>
      </c>
      <c r="N249" s="75">
        <f>54</f>
        <v>54</v>
      </c>
      <c r="O249" s="75">
        <f>54</f>
        <v>54</v>
      </c>
      <c r="P249" s="75">
        <f>54</f>
        <v>54</v>
      </c>
      <c r="Q249" s="75">
        <f>54</f>
        <v>54</v>
      </c>
    </row>
    <row r="250" spans="1:17" ht="15" x14ac:dyDescent="0.2">
      <c r="A250" s="59" t="s">
        <v>18</v>
      </c>
      <c r="B250" s="309" t="s">
        <v>19</v>
      </c>
      <c r="C250" s="309"/>
      <c r="D250" s="75"/>
      <c r="E250" s="75"/>
      <c r="F250" s="75"/>
      <c r="G250" s="100"/>
      <c r="H250" s="75"/>
      <c r="I250" s="75"/>
      <c r="J250" s="75"/>
      <c r="K250" s="75"/>
      <c r="L250" s="75"/>
      <c r="M250" s="75"/>
      <c r="N250" s="75"/>
      <c r="O250" s="75"/>
      <c r="P250" s="92"/>
      <c r="Q250" s="92"/>
    </row>
    <row r="251" spans="1:17" ht="15" customHeight="1" x14ac:dyDescent="0.2">
      <c r="A251" s="59" t="s">
        <v>887</v>
      </c>
      <c r="B251" s="59" t="s">
        <v>888</v>
      </c>
      <c r="C251" s="59" t="s">
        <v>889</v>
      </c>
      <c r="D251" s="104">
        <f>26+12</f>
        <v>38</v>
      </c>
      <c r="E251" s="104">
        <f>23+15</f>
        <v>38</v>
      </c>
      <c r="F251" s="104">
        <f>29+17</f>
        <v>46</v>
      </c>
      <c r="G251" s="104">
        <f>31+19</f>
        <v>50</v>
      </c>
      <c r="H251" s="104">
        <f>26+21</f>
        <v>47</v>
      </c>
      <c r="I251" s="45">
        <f>31+23</f>
        <v>54</v>
      </c>
      <c r="J251" s="95">
        <f>26+25</f>
        <v>51</v>
      </c>
      <c r="K251" s="95">
        <f>19+27</f>
        <v>46</v>
      </c>
      <c r="L251" s="117">
        <f>27+29</f>
        <v>56</v>
      </c>
      <c r="M251" s="95">
        <f>25+30</f>
        <v>55</v>
      </c>
      <c r="N251" s="95">
        <f>30+32</f>
        <v>62</v>
      </c>
      <c r="O251" s="95">
        <f>33+34</f>
        <v>67</v>
      </c>
      <c r="P251" s="95">
        <f>35+37</f>
        <v>72</v>
      </c>
      <c r="Q251" s="95">
        <f>37+39</f>
        <v>76</v>
      </c>
    </row>
    <row r="252" spans="1:17" s="73" customFormat="1" ht="30.75" customHeight="1" x14ac:dyDescent="0.2">
      <c r="A252" s="321" t="s">
        <v>1192</v>
      </c>
      <c r="B252" s="322"/>
      <c r="C252" s="323"/>
      <c r="D252" s="150">
        <f>SUM(D247:D251)</f>
        <v>146</v>
      </c>
      <c r="E252" s="150">
        <f t="shared" ref="E252:Q252" si="23">SUM(E247:E251)</f>
        <v>146</v>
      </c>
      <c r="F252" s="150">
        <f t="shared" si="23"/>
        <v>154</v>
      </c>
      <c r="G252" s="150">
        <f t="shared" si="23"/>
        <v>158</v>
      </c>
      <c r="H252" s="150">
        <f t="shared" si="23"/>
        <v>155</v>
      </c>
      <c r="I252" s="150">
        <f t="shared" si="23"/>
        <v>162</v>
      </c>
      <c r="J252" s="150">
        <f t="shared" si="23"/>
        <v>159</v>
      </c>
      <c r="K252" s="150">
        <f t="shared" si="23"/>
        <v>154</v>
      </c>
      <c r="L252" s="150">
        <f t="shared" si="23"/>
        <v>164</v>
      </c>
      <c r="M252" s="150">
        <f t="shared" si="23"/>
        <v>163</v>
      </c>
      <c r="N252" s="150">
        <f t="shared" si="23"/>
        <v>170</v>
      </c>
      <c r="O252" s="150">
        <f t="shared" si="23"/>
        <v>175</v>
      </c>
      <c r="P252" s="150">
        <f t="shared" si="23"/>
        <v>180</v>
      </c>
      <c r="Q252" s="150">
        <f t="shared" si="23"/>
        <v>184</v>
      </c>
    </row>
    <row r="253" spans="1:17" s="12" customFormat="1" ht="15" x14ac:dyDescent="0.2">
      <c r="A253" s="346" t="s">
        <v>263</v>
      </c>
      <c r="B253" s="346"/>
      <c r="C253" s="59"/>
      <c r="D253" s="75"/>
      <c r="E253" s="75"/>
      <c r="F253" s="75"/>
      <c r="G253" s="100"/>
      <c r="H253" s="75"/>
      <c r="I253" s="75"/>
      <c r="J253" s="75"/>
      <c r="K253" s="75"/>
      <c r="L253" s="75"/>
      <c r="M253" s="75"/>
      <c r="N253" s="75"/>
      <c r="O253" s="75"/>
      <c r="P253" s="92"/>
      <c r="Q253" s="92"/>
    </row>
    <row r="254" spans="1:17" s="12" customFormat="1" ht="15" x14ac:dyDescent="0.2">
      <c r="A254" s="132" t="s">
        <v>4</v>
      </c>
      <c r="B254" s="310" t="s">
        <v>23</v>
      </c>
      <c r="C254" s="310"/>
      <c r="D254" s="93"/>
      <c r="E254" s="93"/>
      <c r="F254" s="93"/>
      <c r="G254" s="114"/>
      <c r="H254" s="93"/>
      <c r="I254" s="93"/>
      <c r="J254" s="93"/>
      <c r="K254" s="93"/>
      <c r="L254" s="93"/>
      <c r="M254" s="93"/>
      <c r="N254" s="93"/>
      <c r="O254" s="75"/>
      <c r="P254" s="92"/>
      <c r="Q254" s="92"/>
    </row>
    <row r="255" spans="1:17" s="12" customFormat="1" ht="45" x14ac:dyDescent="0.2">
      <c r="A255" s="59" t="s">
        <v>890</v>
      </c>
      <c r="B255" s="59" t="s">
        <v>891</v>
      </c>
      <c r="C255" s="59" t="s">
        <v>892</v>
      </c>
      <c r="D255" s="151">
        <f>8+3+1</f>
        <v>12</v>
      </c>
      <c r="E255" s="151">
        <f>5+3+1</f>
        <v>9</v>
      </c>
      <c r="F255" s="151">
        <f>4+3+1</f>
        <v>8</v>
      </c>
      <c r="G255" s="151">
        <f>11+3+1</f>
        <v>15</v>
      </c>
      <c r="H255" s="151">
        <f>5+3+1</f>
        <v>9</v>
      </c>
      <c r="I255" s="151">
        <f>7+3+1</f>
        <v>11</v>
      </c>
      <c r="J255" s="151">
        <f>8+3+1</f>
        <v>12</v>
      </c>
      <c r="K255" s="151">
        <f>6+3+1</f>
        <v>10</v>
      </c>
      <c r="L255" s="151">
        <f>9+3+1</f>
        <v>13</v>
      </c>
      <c r="M255" s="151">
        <f>10+3</f>
        <v>13</v>
      </c>
      <c r="N255" s="151">
        <f>20+3</f>
        <v>23</v>
      </c>
      <c r="O255" s="151">
        <f>15+3</f>
        <v>18</v>
      </c>
      <c r="P255" s="151">
        <f>11+3</f>
        <v>14</v>
      </c>
      <c r="Q255" s="151">
        <f>18+3</f>
        <v>21</v>
      </c>
    </row>
    <row r="256" spans="1:17" s="12" customFormat="1" ht="15" x14ac:dyDescent="0.2">
      <c r="A256" s="59" t="s">
        <v>421</v>
      </c>
      <c r="B256" s="309" t="s">
        <v>422</v>
      </c>
      <c r="C256" s="309"/>
      <c r="D256" s="152"/>
      <c r="E256" s="152"/>
      <c r="F256" s="152"/>
      <c r="G256" s="153"/>
      <c r="H256" s="152"/>
      <c r="I256" s="152"/>
      <c r="J256" s="152"/>
      <c r="K256" s="152"/>
      <c r="L256" s="152"/>
      <c r="M256" s="152"/>
      <c r="N256" s="152"/>
      <c r="O256" s="75"/>
      <c r="P256" s="92"/>
      <c r="Q256" s="92"/>
    </row>
    <row r="257" spans="1:17" s="12" customFormat="1" ht="30" x14ac:dyDescent="0.2">
      <c r="A257" s="59" t="s">
        <v>1050</v>
      </c>
      <c r="B257" s="59" t="s">
        <v>424</v>
      </c>
      <c r="C257" s="59" t="s">
        <v>1051</v>
      </c>
      <c r="D257" s="75">
        <f>1</f>
        <v>1</v>
      </c>
      <c r="E257" s="75">
        <f>1</f>
        <v>1</v>
      </c>
      <c r="F257" s="75">
        <f>1</f>
        <v>1</v>
      </c>
      <c r="G257" s="75">
        <f>1</f>
        <v>1</v>
      </c>
      <c r="H257" s="75">
        <f>1</f>
        <v>1</v>
      </c>
      <c r="I257" s="75">
        <f>1</f>
        <v>1</v>
      </c>
      <c r="J257" s="75">
        <f>1</f>
        <v>1</v>
      </c>
      <c r="K257" s="75">
        <f>1</f>
        <v>1</v>
      </c>
      <c r="L257" s="75">
        <f>1</f>
        <v>1</v>
      </c>
      <c r="M257" s="75">
        <f>1</f>
        <v>1</v>
      </c>
      <c r="N257" s="75">
        <f>1</f>
        <v>1</v>
      </c>
      <c r="O257" s="75">
        <f>1</f>
        <v>1</v>
      </c>
      <c r="P257" s="75">
        <f>1</f>
        <v>1</v>
      </c>
      <c r="Q257" s="75">
        <f>1</f>
        <v>1</v>
      </c>
    </row>
    <row r="258" spans="1:17" s="12" customFormat="1" ht="15" x14ac:dyDescent="0.2">
      <c r="A258" s="59" t="s">
        <v>37</v>
      </c>
      <c r="B258" s="59" t="s">
        <v>25</v>
      </c>
      <c r="C258" s="59"/>
      <c r="D258" s="75"/>
      <c r="E258" s="75"/>
      <c r="F258" s="75"/>
      <c r="G258" s="100"/>
      <c r="H258" s="75"/>
      <c r="I258" s="75"/>
      <c r="J258" s="75"/>
      <c r="K258" s="75"/>
      <c r="L258" s="75"/>
      <c r="M258" s="75"/>
      <c r="N258" s="75"/>
      <c r="O258" s="75"/>
      <c r="P258" s="92"/>
      <c r="Q258" s="92"/>
    </row>
    <row r="259" spans="1:17" s="12" customFormat="1" ht="15" x14ac:dyDescent="0.2">
      <c r="A259" s="59" t="s">
        <v>1040</v>
      </c>
      <c r="B259" s="59" t="s">
        <v>26</v>
      </c>
      <c r="C259" s="59" t="s">
        <v>1041</v>
      </c>
      <c r="D259" s="75">
        <f>50</f>
        <v>50</v>
      </c>
      <c r="E259" s="75">
        <f>50</f>
        <v>50</v>
      </c>
      <c r="F259" s="75">
        <f>55</f>
        <v>55</v>
      </c>
      <c r="G259" s="75">
        <f>55</f>
        <v>55</v>
      </c>
      <c r="H259" s="75">
        <f>60</f>
        <v>60</v>
      </c>
      <c r="I259" s="75">
        <f>60</f>
        <v>60</v>
      </c>
      <c r="J259" s="75">
        <f>60</f>
        <v>60</v>
      </c>
      <c r="K259" s="75">
        <f>65</f>
        <v>65</v>
      </c>
      <c r="L259" s="75">
        <f>65</f>
        <v>65</v>
      </c>
      <c r="M259" s="75">
        <f>65</f>
        <v>65</v>
      </c>
      <c r="N259" s="75">
        <f>65</f>
        <v>65</v>
      </c>
      <c r="O259" s="75">
        <f>70</f>
        <v>70</v>
      </c>
      <c r="P259" s="75">
        <f>70</f>
        <v>70</v>
      </c>
      <c r="Q259" s="75">
        <f>70</f>
        <v>70</v>
      </c>
    </row>
    <row r="260" spans="1:17" s="12" customFormat="1" ht="30" x14ac:dyDescent="0.2">
      <c r="A260" s="59" t="s">
        <v>1042</v>
      </c>
      <c r="B260" s="59" t="s">
        <v>27</v>
      </c>
      <c r="C260" s="59" t="s">
        <v>1043</v>
      </c>
      <c r="D260" s="75">
        <f>60</f>
        <v>60</v>
      </c>
      <c r="E260" s="75">
        <f>60</f>
        <v>60</v>
      </c>
      <c r="F260" s="75">
        <f>65</f>
        <v>65</v>
      </c>
      <c r="G260" s="75">
        <f>65</f>
        <v>65</v>
      </c>
      <c r="H260" s="75">
        <f>70</f>
        <v>70</v>
      </c>
      <c r="I260" s="75">
        <f>70</f>
        <v>70</v>
      </c>
      <c r="J260" s="75">
        <f>75</f>
        <v>75</v>
      </c>
      <c r="K260" s="75">
        <f>75</f>
        <v>75</v>
      </c>
      <c r="L260" s="75">
        <f>75</f>
        <v>75</v>
      </c>
      <c r="M260" s="75">
        <f>80</f>
        <v>80</v>
      </c>
      <c r="N260" s="75">
        <f>80</f>
        <v>80</v>
      </c>
      <c r="O260" s="75">
        <f>85</f>
        <v>85</v>
      </c>
      <c r="P260" s="75">
        <f>85</f>
        <v>85</v>
      </c>
      <c r="Q260" s="75">
        <f>85</f>
        <v>85</v>
      </c>
    </row>
    <row r="261" spans="1:17" s="74" customFormat="1" ht="15" x14ac:dyDescent="0.2">
      <c r="A261" s="266" t="s">
        <v>1193</v>
      </c>
      <c r="B261" s="266"/>
      <c r="C261" s="370"/>
      <c r="D261" s="76">
        <f>SUM(D255:D260)</f>
        <v>123</v>
      </c>
      <c r="E261" s="76">
        <f t="shared" ref="E261:Q261" si="24">SUM(E255:E260)</f>
        <v>120</v>
      </c>
      <c r="F261" s="76">
        <f t="shared" si="24"/>
        <v>129</v>
      </c>
      <c r="G261" s="76">
        <f t="shared" si="24"/>
        <v>136</v>
      </c>
      <c r="H261" s="76">
        <f t="shared" si="24"/>
        <v>140</v>
      </c>
      <c r="I261" s="76">
        <f t="shared" si="24"/>
        <v>142</v>
      </c>
      <c r="J261" s="76">
        <f t="shared" si="24"/>
        <v>148</v>
      </c>
      <c r="K261" s="76">
        <f t="shared" si="24"/>
        <v>151</v>
      </c>
      <c r="L261" s="76">
        <f t="shared" si="24"/>
        <v>154</v>
      </c>
      <c r="M261" s="76">
        <f t="shared" si="24"/>
        <v>159</v>
      </c>
      <c r="N261" s="76">
        <f t="shared" si="24"/>
        <v>169</v>
      </c>
      <c r="O261" s="76">
        <f t="shared" si="24"/>
        <v>174</v>
      </c>
      <c r="P261" s="76">
        <f t="shared" si="24"/>
        <v>170</v>
      </c>
      <c r="Q261" s="76">
        <f t="shared" si="24"/>
        <v>177</v>
      </c>
    </row>
    <row r="262" spans="1:17" s="12" customFormat="1" ht="15" x14ac:dyDescent="0.2">
      <c r="A262" s="367" t="s">
        <v>8</v>
      </c>
      <c r="B262" s="368"/>
      <c r="C262" s="369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</row>
    <row r="263" spans="1:17" s="12" customFormat="1" ht="15" x14ac:dyDescent="0.2">
      <c r="A263" s="59" t="s">
        <v>9</v>
      </c>
      <c r="B263" s="309" t="s">
        <v>8</v>
      </c>
      <c r="C263" s="309"/>
      <c r="D263" s="75"/>
      <c r="E263" s="75"/>
      <c r="F263" s="75"/>
      <c r="G263" s="100"/>
      <c r="H263" s="75"/>
      <c r="I263" s="75"/>
      <c r="J263" s="75"/>
      <c r="K263" s="75"/>
      <c r="L263" s="75"/>
      <c r="M263" s="75"/>
      <c r="N263" s="75"/>
      <c r="O263" s="75"/>
      <c r="P263" s="92"/>
      <c r="Q263" s="92"/>
    </row>
    <row r="264" spans="1:17" s="12" customFormat="1" ht="30" x14ac:dyDescent="0.2">
      <c r="A264" s="59" t="s">
        <v>953</v>
      </c>
      <c r="B264" s="59" t="s">
        <v>954</v>
      </c>
      <c r="C264" s="59" t="s">
        <v>955</v>
      </c>
      <c r="D264" s="75">
        <f>26</f>
        <v>26</v>
      </c>
      <c r="E264" s="75">
        <f>26</f>
        <v>26</v>
      </c>
      <c r="F264" s="75">
        <f>30</f>
        <v>30</v>
      </c>
      <c r="G264" s="100">
        <f>30</f>
        <v>30</v>
      </c>
      <c r="H264" s="75">
        <f>35</f>
        <v>35</v>
      </c>
      <c r="I264" s="75">
        <f>40</f>
        <v>40</v>
      </c>
      <c r="J264" s="75">
        <f>40</f>
        <v>40</v>
      </c>
      <c r="K264" s="75">
        <f>45</f>
        <v>45</v>
      </c>
      <c r="L264" s="75">
        <f>45</f>
        <v>45</v>
      </c>
      <c r="M264" s="75">
        <f>45</f>
        <v>45</v>
      </c>
      <c r="N264" s="75">
        <f>50</f>
        <v>50</v>
      </c>
      <c r="O264" s="75">
        <f>50</f>
        <v>50</v>
      </c>
      <c r="P264" s="75">
        <f>50</f>
        <v>50</v>
      </c>
      <c r="Q264" s="75">
        <f>50</f>
        <v>50</v>
      </c>
    </row>
    <row r="265" spans="1:17" s="12" customFormat="1" ht="30" x14ac:dyDescent="0.2">
      <c r="A265" s="59" t="s">
        <v>956</v>
      </c>
      <c r="B265" s="59" t="s">
        <v>957</v>
      </c>
      <c r="C265" s="107" t="s">
        <v>958</v>
      </c>
      <c r="D265" s="92">
        <f>7</f>
        <v>7</v>
      </c>
      <c r="E265" s="75">
        <f>10</f>
        <v>10</v>
      </c>
      <c r="F265" s="75">
        <f>10</f>
        <v>10</v>
      </c>
      <c r="G265" s="100">
        <f>7</f>
        <v>7</v>
      </c>
      <c r="H265" s="75">
        <f>7</f>
        <v>7</v>
      </c>
      <c r="I265" s="75">
        <f>6</f>
        <v>6</v>
      </c>
      <c r="J265" s="75">
        <f>7</f>
        <v>7</v>
      </c>
      <c r="K265" s="75">
        <f>7</f>
        <v>7</v>
      </c>
      <c r="L265" s="75">
        <f>10</f>
        <v>10</v>
      </c>
      <c r="M265" s="75">
        <f>7</f>
        <v>7</v>
      </c>
      <c r="N265" s="75">
        <f>7</f>
        <v>7</v>
      </c>
      <c r="O265" s="75">
        <f>7</f>
        <v>7</v>
      </c>
      <c r="P265" s="75">
        <f>7</f>
        <v>7</v>
      </c>
      <c r="Q265" s="75">
        <f>7</f>
        <v>7</v>
      </c>
    </row>
    <row r="266" spans="1:17" s="12" customFormat="1" ht="45" x14ac:dyDescent="0.2">
      <c r="A266" s="9" t="s">
        <v>959</v>
      </c>
      <c r="B266" s="9" t="s">
        <v>960</v>
      </c>
      <c r="C266" s="9" t="s">
        <v>961</v>
      </c>
      <c r="D266" s="93">
        <f>4</f>
        <v>4</v>
      </c>
      <c r="E266" s="93">
        <f>14</f>
        <v>14</v>
      </c>
      <c r="F266" s="93">
        <f>15</f>
        <v>15</v>
      </c>
      <c r="G266" s="114">
        <f>15</f>
        <v>15</v>
      </c>
      <c r="H266" s="114">
        <f>15</f>
        <v>15</v>
      </c>
      <c r="I266" s="114">
        <f>15</f>
        <v>15</v>
      </c>
      <c r="J266" s="114">
        <f>15</f>
        <v>15</v>
      </c>
      <c r="K266" s="114">
        <f>15</f>
        <v>15</v>
      </c>
      <c r="L266" s="93">
        <f>9</f>
        <v>9</v>
      </c>
      <c r="M266" s="93">
        <f>9</f>
        <v>9</v>
      </c>
      <c r="N266" s="93">
        <f>9</f>
        <v>9</v>
      </c>
      <c r="O266" s="93">
        <f>9</f>
        <v>9</v>
      </c>
      <c r="P266" s="93">
        <f>9</f>
        <v>9</v>
      </c>
      <c r="Q266" s="93">
        <f>9</f>
        <v>9</v>
      </c>
    </row>
    <row r="267" spans="1:17" s="12" customFormat="1" ht="195.75" customHeight="1" x14ac:dyDescent="0.2">
      <c r="A267" s="9" t="s">
        <v>962</v>
      </c>
      <c r="B267" s="9" t="s">
        <v>963</v>
      </c>
      <c r="C267" s="9" t="s">
        <v>964</v>
      </c>
      <c r="D267" s="93"/>
      <c r="E267" s="93"/>
      <c r="F267" s="93"/>
      <c r="G267" s="114"/>
      <c r="H267" s="93"/>
      <c r="I267" s="93">
        <f>1</f>
        <v>1</v>
      </c>
      <c r="J267" s="93">
        <f>1</f>
        <v>1</v>
      </c>
      <c r="K267" s="93">
        <f>1</f>
        <v>1</v>
      </c>
      <c r="L267" s="93">
        <f>1</f>
        <v>1</v>
      </c>
      <c r="M267" s="93">
        <f>1</f>
        <v>1</v>
      </c>
      <c r="N267" s="93">
        <f>1</f>
        <v>1</v>
      </c>
      <c r="O267" s="93">
        <f>1</f>
        <v>1</v>
      </c>
      <c r="P267" s="93">
        <f>1</f>
        <v>1</v>
      </c>
      <c r="Q267" s="93">
        <f>1</f>
        <v>1</v>
      </c>
    </row>
    <row r="268" spans="1:17" s="12" customFormat="1" ht="96" customHeight="1" x14ac:dyDescent="0.2">
      <c r="A268" s="59" t="s">
        <v>965</v>
      </c>
      <c r="B268" s="59" t="s">
        <v>966</v>
      </c>
      <c r="C268" s="59" t="s">
        <v>967</v>
      </c>
      <c r="D268" s="93"/>
      <c r="E268" s="93">
        <f>3</f>
        <v>3</v>
      </c>
      <c r="F268" s="93">
        <f>4</f>
        <v>4</v>
      </c>
      <c r="G268" s="114">
        <f>3</f>
        <v>3</v>
      </c>
      <c r="H268" s="93">
        <f>2</f>
        <v>2</v>
      </c>
      <c r="I268" s="93">
        <f>1</f>
        <v>1</v>
      </c>
      <c r="J268" s="93">
        <f>1</f>
        <v>1</v>
      </c>
      <c r="K268" s="93">
        <f>1</f>
        <v>1</v>
      </c>
      <c r="L268" s="93">
        <f>1</f>
        <v>1</v>
      </c>
      <c r="M268" s="93">
        <f>1</f>
        <v>1</v>
      </c>
      <c r="N268" s="93">
        <f>1</f>
        <v>1</v>
      </c>
      <c r="O268" s="93">
        <f>1</f>
        <v>1</v>
      </c>
      <c r="P268" s="93">
        <f>1</f>
        <v>1</v>
      </c>
      <c r="Q268" s="93">
        <f>1</f>
        <v>1</v>
      </c>
    </row>
    <row r="269" spans="1:17" s="12" customFormat="1" ht="66" customHeight="1" x14ac:dyDescent="0.2">
      <c r="A269" s="59" t="s">
        <v>968</v>
      </c>
      <c r="B269" s="59" t="s">
        <v>969</v>
      </c>
      <c r="C269" s="59" t="s">
        <v>970</v>
      </c>
      <c r="D269" s="75">
        <f>10</f>
        <v>10</v>
      </c>
      <c r="E269" s="75">
        <f>10</f>
        <v>10</v>
      </c>
      <c r="F269" s="75">
        <f>10</f>
        <v>10</v>
      </c>
      <c r="G269" s="100">
        <f>17</f>
        <v>17</v>
      </c>
      <c r="H269" s="75">
        <f>25</f>
        <v>25</v>
      </c>
      <c r="I269" s="75">
        <f>25</f>
        <v>25</v>
      </c>
      <c r="J269" s="75">
        <f>25</f>
        <v>25</v>
      </c>
      <c r="K269" s="75">
        <f>30</f>
        <v>30</v>
      </c>
      <c r="L269" s="75">
        <f>30</f>
        <v>30</v>
      </c>
      <c r="M269" s="75">
        <f>30</f>
        <v>30</v>
      </c>
      <c r="N269" s="75">
        <f>35</f>
        <v>35</v>
      </c>
      <c r="O269" s="75">
        <f>35</f>
        <v>35</v>
      </c>
      <c r="P269" s="75">
        <f>40</f>
        <v>40</v>
      </c>
      <c r="Q269" s="75">
        <f>50</f>
        <v>50</v>
      </c>
    </row>
    <row r="270" spans="1:17" s="12" customFormat="1" ht="24" customHeight="1" x14ac:dyDescent="0.2">
      <c r="A270" s="59" t="s">
        <v>248</v>
      </c>
      <c r="B270" s="319" t="s">
        <v>249</v>
      </c>
      <c r="C270" s="320"/>
      <c r="D270" s="75"/>
      <c r="E270" s="75"/>
      <c r="F270" s="75"/>
      <c r="G270" s="100"/>
      <c r="H270" s="75"/>
      <c r="I270" s="75"/>
      <c r="J270" s="75"/>
      <c r="K270" s="75"/>
      <c r="L270" s="75"/>
      <c r="M270" s="75"/>
      <c r="N270" s="75"/>
      <c r="O270" s="75"/>
      <c r="P270" s="75"/>
      <c r="Q270" s="75"/>
    </row>
    <row r="271" spans="1:17" s="12" customFormat="1" ht="59.25" customHeight="1" x14ac:dyDescent="0.2">
      <c r="A271" s="59" t="s">
        <v>1182</v>
      </c>
      <c r="B271" s="60" t="s">
        <v>1183</v>
      </c>
      <c r="C271" s="61" t="s">
        <v>1184</v>
      </c>
      <c r="D271" s="75">
        <f>1</f>
        <v>1</v>
      </c>
      <c r="E271" s="75">
        <f>1</f>
        <v>1</v>
      </c>
      <c r="F271" s="75">
        <f>1</f>
        <v>1</v>
      </c>
      <c r="G271" s="75">
        <f>1</f>
        <v>1</v>
      </c>
      <c r="H271" s="75">
        <f>1</f>
        <v>1</v>
      </c>
      <c r="I271" s="75">
        <f>1</f>
        <v>1</v>
      </c>
      <c r="J271" s="75">
        <f>1</f>
        <v>1</v>
      </c>
      <c r="K271" s="75">
        <f>1</f>
        <v>1</v>
      </c>
      <c r="L271" s="75">
        <f>1</f>
        <v>1</v>
      </c>
      <c r="M271" s="75"/>
      <c r="N271" s="75"/>
      <c r="O271" s="75"/>
      <c r="P271" s="75"/>
      <c r="Q271" s="75"/>
    </row>
    <row r="272" spans="1:17" s="12" customFormat="1" ht="15" x14ac:dyDescent="0.2">
      <c r="A272" s="59" t="s">
        <v>311</v>
      </c>
      <c r="B272" s="319" t="s">
        <v>312</v>
      </c>
      <c r="C272" s="320"/>
      <c r="D272" s="75"/>
      <c r="E272" s="75"/>
      <c r="F272" s="75"/>
      <c r="G272" s="100"/>
      <c r="H272" s="75"/>
      <c r="I272" s="75"/>
      <c r="J272" s="75"/>
      <c r="K272" s="75"/>
      <c r="L272" s="75"/>
      <c r="M272" s="75"/>
      <c r="N272" s="75"/>
      <c r="O272" s="75"/>
      <c r="P272" s="75"/>
      <c r="Q272" s="75"/>
    </row>
    <row r="273" spans="1:17" s="12" customFormat="1" ht="30" x14ac:dyDescent="0.2">
      <c r="A273" s="59" t="s">
        <v>971</v>
      </c>
      <c r="B273" s="59" t="s">
        <v>314</v>
      </c>
      <c r="C273" s="59" t="s">
        <v>972</v>
      </c>
      <c r="D273" s="75">
        <f>5</f>
        <v>5</v>
      </c>
      <c r="E273" s="75">
        <f>5</f>
        <v>5</v>
      </c>
      <c r="F273" s="75">
        <f>5</f>
        <v>5</v>
      </c>
      <c r="G273" s="75">
        <f>5</f>
        <v>5</v>
      </c>
      <c r="H273" s="75">
        <f>5</f>
        <v>5</v>
      </c>
      <c r="I273" s="75">
        <f>5</f>
        <v>5</v>
      </c>
      <c r="J273" s="75">
        <f>5</f>
        <v>5</v>
      </c>
      <c r="K273" s="75">
        <f>10</f>
        <v>10</v>
      </c>
      <c r="L273" s="75">
        <f>10</f>
        <v>10</v>
      </c>
      <c r="M273" s="75">
        <f>10</f>
        <v>10</v>
      </c>
      <c r="N273" s="75">
        <f>10</f>
        <v>10</v>
      </c>
      <c r="O273" s="75">
        <f>10</f>
        <v>10</v>
      </c>
      <c r="P273" s="75">
        <f>10</f>
        <v>10</v>
      </c>
      <c r="Q273" s="75">
        <f>10</f>
        <v>10</v>
      </c>
    </row>
    <row r="274" spans="1:17" s="12" customFormat="1" ht="75" x14ac:dyDescent="0.2">
      <c r="A274" s="59" t="s">
        <v>973</v>
      </c>
      <c r="B274" s="59" t="s">
        <v>974</v>
      </c>
      <c r="C274" s="59" t="s">
        <v>975</v>
      </c>
      <c r="D274" s="75"/>
      <c r="E274" s="75"/>
      <c r="F274" s="75"/>
      <c r="G274" s="100"/>
      <c r="H274" s="75"/>
      <c r="I274" s="75"/>
      <c r="J274" s="75"/>
      <c r="K274" s="75"/>
      <c r="L274" s="75"/>
      <c r="M274" s="75"/>
      <c r="N274" s="75"/>
      <c r="O274" s="75"/>
      <c r="P274" s="75"/>
      <c r="Q274" s="75"/>
    </row>
    <row r="275" spans="1:17" s="74" customFormat="1" ht="15" x14ac:dyDescent="0.2">
      <c r="A275" s="321" t="s">
        <v>1194</v>
      </c>
      <c r="B275" s="322"/>
      <c r="C275" s="323"/>
      <c r="D275" s="76">
        <f>SUM(D264:D274)</f>
        <v>53</v>
      </c>
      <c r="E275" s="76">
        <f t="shared" ref="E275:Q275" si="25">SUM(E264:E274)</f>
        <v>69</v>
      </c>
      <c r="F275" s="76">
        <f t="shared" si="25"/>
        <v>75</v>
      </c>
      <c r="G275" s="76">
        <f t="shared" si="25"/>
        <v>78</v>
      </c>
      <c r="H275" s="76">
        <f t="shared" si="25"/>
        <v>90</v>
      </c>
      <c r="I275" s="76">
        <f t="shared" si="25"/>
        <v>94</v>
      </c>
      <c r="J275" s="76">
        <f t="shared" si="25"/>
        <v>95</v>
      </c>
      <c r="K275" s="76">
        <f t="shared" si="25"/>
        <v>110</v>
      </c>
      <c r="L275" s="76">
        <f t="shared" si="25"/>
        <v>107</v>
      </c>
      <c r="M275" s="76">
        <f t="shared" si="25"/>
        <v>103</v>
      </c>
      <c r="N275" s="76">
        <f t="shared" si="25"/>
        <v>113</v>
      </c>
      <c r="O275" s="76">
        <f t="shared" si="25"/>
        <v>113</v>
      </c>
      <c r="P275" s="76">
        <f t="shared" si="25"/>
        <v>118</v>
      </c>
      <c r="Q275" s="76">
        <f t="shared" si="25"/>
        <v>128</v>
      </c>
    </row>
    <row r="276" spans="1:17" s="12" customFormat="1" ht="15" x14ac:dyDescent="0.2">
      <c r="A276" s="367" t="s">
        <v>38</v>
      </c>
      <c r="B276" s="368"/>
      <c r="C276" s="369"/>
      <c r="D276" s="75"/>
      <c r="E276" s="75"/>
      <c r="F276" s="75"/>
      <c r="G276" s="100"/>
      <c r="H276" s="75"/>
      <c r="I276" s="75"/>
      <c r="J276" s="75"/>
      <c r="K276" s="75"/>
      <c r="L276" s="75"/>
      <c r="M276" s="75"/>
      <c r="N276" s="75"/>
      <c r="O276" s="75"/>
      <c r="P276" s="75"/>
      <c r="Q276" s="75"/>
    </row>
    <row r="277" spans="1:17" s="12" customFormat="1" ht="24" customHeight="1" x14ac:dyDescent="0.2">
      <c r="A277" s="59" t="s">
        <v>265</v>
      </c>
      <c r="B277" s="319" t="s">
        <v>266</v>
      </c>
      <c r="C277" s="320"/>
      <c r="D277" s="75"/>
      <c r="E277" s="75"/>
      <c r="F277" s="75"/>
      <c r="G277" s="100"/>
      <c r="H277" s="75"/>
      <c r="I277" s="75"/>
      <c r="J277" s="75"/>
      <c r="K277" s="75"/>
      <c r="L277" s="75"/>
      <c r="M277" s="75"/>
      <c r="N277" s="75"/>
      <c r="O277" s="75"/>
      <c r="P277" s="92"/>
      <c r="Q277" s="92"/>
    </row>
    <row r="278" spans="1:17" s="12" customFormat="1" ht="104.25" customHeight="1" x14ac:dyDescent="0.2">
      <c r="A278" s="59" t="s">
        <v>976</v>
      </c>
      <c r="B278" s="59" t="s">
        <v>977</v>
      </c>
      <c r="C278" s="59" t="s">
        <v>978</v>
      </c>
      <c r="D278" s="75">
        <f>1</f>
        <v>1</v>
      </c>
      <c r="E278" s="75">
        <f>1</f>
        <v>1</v>
      </c>
      <c r="F278" s="75">
        <f>1</f>
        <v>1</v>
      </c>
      <c r="G278" s="75">
        <f>1</f>
        <v>1</v>
      </c>
      <c r="H278" s="75">
        <f>1</f>
        <v>1</v>
      </c>
      <c r="I278" s="75">
        <f>1</f>
        <v>1</v>
      </c>
      <c r="J278" s="75">
        <f>1</f>
        <v>1</v>
      </c>
      <c r="K278" s="75">
        <f>1</f>
        <v>1</v>
      </c>
      <c r="L278" s="75">
        <f>1</f>
        <v>1</v>
      </c>
      <c r="M278" s="75">
        <f>1</f>
        <v>1</v>
      </c>
      <c r="N278" s="75">
        <f>1</f>
        <v>1</v>
      </c>
      <c r="O278" s="75">
        <f>1</f>
        <v>1</v>
      </c>
      <c r="P278" s="75">
        <f>1</f>
        <v>1</v>
      </c>
      <c r="Q278" s="75">
        <f>1</f>
        <v>1</v>
      </c>
    </row>
    <row r="279" spans="1:17" s="12" customFormat="1" ht="26.25" customHeight="1" x14ac:dyDescent="0.2">
      <c r="A279" s="59" t="s">
        <v>39</v>
      </c>
      <c r="B279" s="309" t="s">
        <v>40</v>
      </c>
      <c r="C279" s="309"/>
      <c r="D279" s="75"/>
      <c r="E279" s="75"/>
      <c r="F279" s="75"/>
      <c r="G279" s="100"/>
      <c r="H279" s="75"/>
      <c r="I279" s="75"/>
      <c r="J279" s="75"/>
      <c r="K279" s="75"/>
      <c r="L279" s="75"/>
      <c r="M279" s="75"/>
      <c r="N279" s="75"/>
      <c r="O279" s="75"/>
      <c r="P279" s="92"/>
      <c r="Q279" s="92"/>
    </row>
    <row r="280" spans="1:17" s="12" customFormat="1" ht="60" x14ac:dyDescent="0.2">
      <c r="A280" s="59" t="s">
        <v>979</v>
      </c>
      <c r="B280" s="59" t="s">
        <v>980</v>
      </c>
      <c r="C280" s="59" t="s">
        <v>981</v>
      </c>
      <c r="D280" s="75">
        <f>1</f>
        <v>1</v>
      </c>
      <c r="E280" s="75">
        <f>1</f>
        <v>1</v>
      </c>
      <c r="F280" s="75">
        <f>1</f>
        <v>1</v>
      </c>
      <c r="G280" s="75">
        <f>1</f>
        <v>1</v>
      </c>
      <c r="H280" s="75">
        <f>1+1</f>
        <v>2</v>
      </c>
      <c r="I280" s="75">
        <f t="shared" ref="I280:Q281" si="26">1+1</f>
        <v>2</v>
      </c>
      <c r="J280" s="75">
        <f t="shared" si="26"/>
        <v>2</v>
      </c>
      <c r="K280" s="75">
        <f t="shared" si="26"/>
        <v>2</v>
      </c>
      <c r="L280" s="75">
        <f t="shared" si="26"/>
        <v>2</v>
      </c>
      <c r="M280" s="75">
        <f t="shared" si="26"/>
        <v>2</v>
      </c>
      <c r="N280" s="75">
        <f t="shared" si="26"/>
        <v>2</v>
      </c>
      <c r="O280" s="75">
        <f t="shared" si="26"/>
        <v>2</v>
      </c>
      <c r="P280" s="75">
        <f t="shared" si="26"/>
        <v>2</v>
      </c>
      <c r="Q280" s="75">
        <f t="shared" si="26"/>
        <v>2</v>
      </c>
    </row>
    <row r="281" spans="1:17" s="12" customFormat="1" ht="62.25" customHeight="1" x14ac:dyDescent="0.2">
      <c r="A281" s="59" t="s">
        <v>982</v>
      </c>
      <c r="B281" s="59" t="s">
        <v>983</v>
      </c>
      <c r="C281" s="59" t="s">
        <v>984</v>
      </c>
      <c r="D281" s="75">
        <f>1</f>
        <v>1</v>
      </c>
      <c r="E281" s="75">
        <f>1</f>
        <v>1</v>
      </c>
      <c r="F281" s="75">
        <f>1</f>
        <v>1</v>
      </c>
      <c r="G281" s="75">
        <f>1</f>
        <v>1</v>
      </c>
      <c r="H281" s="75">
        <f>1+1</f>
        <v>2</v>
      </c>
      <c r="I281" s="75">
        <f t="shared" si="26"/>
        <v>2</v>
      </c>
      <c r="J281" s="75">
        <f t="shared" si="26"/>
        <v>2</v>
      </c>
      <c r="K281" s="75">
        <f t="shared" si="26"/>
        <v>2</v>
      </c>
      <c r="L281" s="75">
        <f t="shared" si="26"/>
        <v>2</v>
      </c>
      <c r="M281" s="75">
        <f t="shared" si="26"/>
        <v>2</v>
      </c>
      <c r="N281" s="75">
        <f t="shared" si="26"/>
        <v>2</v>
      </c>
      <c r="O281" s="75">
        <f t="shared" si="26"/>
        <v>2</v>
      </c>
      <c r="P281" s="75">
        <f t="shared" si="26"/>
        <v>2</v>
      </c>
      <c r="Q281" s="75">
        <f t="shared" si="26"/>
        <v>2</v>
      </c>
    </row>
    <row r="282" spans="1:17" s="12" customFormat="1" ht="15" x14ac:dyDescent="0.2">
      <c r="A282" s="327" t="s">
        <v>985</v>
      </c>
      <c r="B282" s="327" t="s">
        <v>986</v>
      </c>
      <c r="C282" s="59" t="s">
        <v>1163</v>
      </c>
      <c r="D282" s="75">
        <f>2</f>
        <v>2</v>
      </c>
      <c r="E282" s="75">
        <f>2</f>
        <v>2</v>
      </c>
      <c r="F282" s="75">
        <f>2</f>
        <v>2</v>
      </c>
      <c r="G282" s="75">
        <f>2</f>
        <v>2</v>
      </c>
      <c r="H282" s="75">
        <f>2</f>
        <v>2</v>
      </c>
      <c r="I282" s="75">
        <f>2</f>
        <v>2</v>
      </c>
      <c r="J282" s="75">
        <f>2</f>
        <v>2</v>
      </c>
      <c r="K282" s="75">
        <f>2</f>
        <v>2</v>
      </c>
      <c r="L282" s="75">
        <f>2</f>
        <v>2</v>
      </c>
      <c r="M282" s="75">
        <f>2</f>
        <v>2</v>
      </c>
      <c r="N282" s="75">
        <f>2</f>
        <v>2</v>
      </c>
      <c r="O282" s="75">
        <f>2</f>
        <v>2</v>
      </c>
      <c r="P282" s="75">
        <f>2</f>
        <v>2</v>
      </c>
      <c r="Q282" s="75">
        <f>2</f>
        <v>2</v>
      </c>
    </row>
    <row r="283" spans="1:17" s="12" customFormat="1" ht="48.75" customHeight="1" x14ac:dyDescent="0.2">
      <c r="A283" s="329"/>
      <c r="B283" s="329"/>
      <c r="C283" s="59" t="s">
        <v>1164</v>
      </c>
      <c r="D283" s="75">
        <f>2</f>
        <v>2</v>
      </c>
      <c r="E283" s="75">
        <f>2</f>
        <v>2</v>
      </c>
      <c r="F283" s="75">
        <f>2</f>
        <v>2</v>
      </c>
      <c r="G283" s="75">
        <f>2</f>
        <v>2</v>
      </c>
      <c r="H283" s="75">
        <f>2+1</f>
        <v>3</v>
      </c>
      <c r="I283" s="75">
        <f t="shared" ref="I283:Q283" si="27">2+1</f>
        <v>3</v>
      </c>
      <c r="J283" s="75">
        <f t="shared" si="27"/>
        <v>3</v>
      </c>
      <c r="K283" s="75">
        <f t="shared" si="27"/>
        <v>3</v>
      </c>
      <c r="L283" s="75">
        <f t="shared" si="27"/>
        <v>3</v>
      </c>
      <c r="M283" s="75">
        <f t="shared" si="27"/>
        <v>3</v>
      </c>
      <c r="N283" s="75">
        <f t="shared" si="27"/>
        <v>3</v>
      </c>
      <c r="O283" s="75">
        <f t="shared" si="27"/>
        <v>3</v>
      </c>
      <c r="P283" s="75">
        <f t="shared" si="27"/>
        <v>3</v>
      </c>
      <c r="Q283" s="75">
        <f t="shared" si="27"/>
        <v>3</v>
      </c>
    </row>
    <row r="284" spans="1:17" s="12" customFormat="1" ht="15" x14ac:dyDescent="0.2">
      <c r="A284" s="59" t="s">
        <v>550</v>
      </c>
      <c r="B284" s="309" t="s">
        <v>116</v>
      </c>
      <c r="C284" s="309"/>
      <c r="D284" s="75"/>
      <c r="E284" s="75"/>
      <c r="F284" s="75"/>
      <c r="G284" s="100"/>
      <c r="H284" s="75"/>
      <c r="I284" s="75"/>
      <c r="J284" s="75"/>
      <c r="K284" s="75"/>
      <c r="L284" s="75"/>
      <c r="M284" s="75"/>
      <c r="N284" s="75"/>
      <c r="O284" s="75"/>
      <c r="P284" s="92"/>
      <c r="Q284" s="92"/>
    </row>
    <row r="285" spans="1:17" s="12" customFormat="1" ht="15" x14ac:dyDescent="0.2">
      <c r="A285" s="327" t="s">
        <v>987</v>
      </c>
      <c r="B285" s="327" t="s">
        <v>988</v>
      </c>
      <c r="C285" s="59" t="s">
        <v>1165</v>
      </c>
      <c r="D285" s="75">
        <f>2</f>
        <v>2</v>
      </c>
      <c r="E285" s="75">
        <f>2</f>
        <v>2</v>
      </c>
      <c r="F285" s="75">
        <f>2</f>
        <v>2</v>
      </c>
      <c r="G285" s="75">
        <f>2</f>
        <v>2</v>
      </c>
      <c r="H285" s="75">
        <f>2</f>
        <v>2</v>
      </c>
      <c r="I285" s="75">
        <f>2</f>
        <v>2</v>
      </c>
      <c r="J285" s="75">
        <f>2</f>
        <v>2</v>
      </c>
      <c r="K285" s="75">
        <f>2</f>
        <v>2</v>
      </c>
      <c r="L285" s="75">
        <f>2</f>
        <v>2</v>
      </c>
      <c r="M285" s="75">
        <f>2</f>
        <v>2</v>
      </c>
      <c r="N285" s="75">
        <f>2</f>
        <v>2</v>
      </c>
      <c r="O285" s="75">
        <f>2</f>
        <v>2</v>
      </c>
      <c r="P285" s="75">
        <f>2</f>
        <v>2</v>
      </c>
      <c r="Q285" s="75">
        <f>2</f>
        <v>2</v>
      </c>
    </row>
    <row r="286" spans="1:17" s="12" customFormat="1" ht="40.5" customHeight="1" x14ac:dyDescent="0.2">
      <c r="A286" s="329"/>
      <c r="B286" s="329"/>
      <c r="C286" s="59" t="s">
        <v>1166</v>
      </c>
      <c r="D286" s="75">
        <f>2+1</f>
        <v>3</v>
      </c>
      <c r="E286" s="75">
        <f t="shared" ref="E286:F286" si="28">2+1</f>
        <v>3</v>
      </c>
      <c r="F286" s="75">
        <f t="shared" si="28"/>
        <v>3</v>
      </c>
      <c r="G286" s="75">
        <f>2+3</f>
        <v>5</v>
      </c>
      <c r="H286" s="75">
        <f t="shared" ref="H286:K286" si="29">2+3</f>
        <v>5</v>
      </c>
      <c r="I286" s="75">
        <f t="shared" si="29"/>
        <v>5</v>
      </c>
      <c r="J286" s="75">
        <f t="shared" si="29"/>
        <v>5</v>
      </c>
      <c r="K286" s="75">
        <f t="shared" si="29"/>
        <v>5</v>
      </c>
      <c r="L286" s="75">
        <f>2+5</f>
        <v>7</v>
      </c>
      <c r="M286" s="75">
        <f t="shared" ref="M286:Q286" si="30">2+5</f>
        <v>7</v>
      </c>
      <c r="N286" s="75">
        <f t="shared" si="30"/>
        <v>7</v>
      </c>
      <c r="O286" s="75">
        <f t="shared" si="30"/>
        <v>7</v>
      </c>
      <c r="P286" s="75">
        <f t="shared" si="30"/>
        <v>7</v>
      </c>
      <c r="Q286" s="75">
        <f t="shared" si="30"/>
        <v>7</v>
      </c>
    </row>
    <row r="287" spans="1:17" s="12" customFormat="1" ht="59.25" customHeight="1" x14ac:dyDescent="0.2">
      <c r="A287" s="59" t="s">
        <v>989</v>
      </c>
      <c r="B287" s="9" t="s">
        <v>990</v>
      </c>
      <c r="C287" s="59" t="s">
        <v>991</v>
      </c>
      <c r="D287" s="154">
        <f>10+1</f>
        <v>11</v>
      </c>
      <c r="E287" s="154">
        <f t="shared" ref="E287:F287" si="31">10+1</f>
        <v>11</v>
      </c>
      <c r="F287" s="154">
        <f t="shared" si="31"/>
        <v>11</v>
      </c>
      <c r="G287" s="154">
        <f>10+3</f>
        <v>13</v>
      </c>
      <c r="H287" s="154">
        <f t="shared" ref="H287:K287" si="32">10+3</f>
        <v>13</v>
      </c>
      <c r="I287" s="154">
        <f t="shared" si="32"/>
        <v>13</v>
      </c>
      <c r="J287" s="154">
        <f t="shared" si="32"/>
        <v>13</v>
      </c>
      <c r="K287" s="154">
        <f t="shared" si="32"/>
        <v>13</v>
      </c>
      <c r="L287" s="154">
        <f>10+5</f>
        <v>15</v>
      </c>
      <c r="M287" s="154">
        <f t="shared" ref="M287:Q287" si="33">10+5</f>
        <v>15</v>
      </c>
      <c r="N287" s="154">
        <f t="shared" si="33"/>
        <v>15</v>
      </c>
      <c r="O287" s="154">
        <f t="shared" si="33"/>
        <v>15</v>
      </c>
      <c r="P287" s="154">
        <f t="shared" si="33"/>
        <v>15</v>
      </c>
      <c r="Q287" s="154">
        <f t="shared" si="33"/>
        <v>15</v>
      </c>
    </row>
    <row r="288" spans="1:17" s="12" customFormat="1" ht="30" x14ac:dyDescent="0.2">
      <c r="A288" s="59" t="s">
        <v>992</v>
      </c>
      <c r="B288" s="9" t="s">
        <v>993</v>
      </c>
      <c r="C288" s="59" t="s">
        <v>994</v>
      </c>
      <c r="D288" s="154">
        <f>2</f>
        <v>2</v>
      </c>
      <c r="E288" s="154">
        <f>2</f>
        <v>2</v>
      </c>
      <c r="F288" s="154">
        <f>2</f>
        <v>2</v>
      </c>
      <c r="G288" s="154">
        <f>2+1</f>
        <v>3</v>
      </c>
      <c r="H288" s="154">
        <f t="shared" ref="H288:M288" si="34">2+1</f>
        <v>3</v>
      </c>
      <c r="I288" s="154">
        <f t="shared" si="34"/>
        <v>3</v>
      </c>
      <c r="J288" s="154">
        <f t="shared" si="34"/>
        <v>3</v>
      </c>
      <c r="K288" s="154">
        <f t="shared" si="34"/>
        <v>3</v>
      </c>
      <c r="L288" s="154">
        <f t="shared" si="34"/>
        <v>3</v>
      </c>
      <c r="M288" s="154">
        <f t="shared" si="34"/>
        <v>3</v>
      </c>
      <c r="N288" s="154">
        <f>2</f>
        <v>2</v>
      </c>
      <c r="O288" s="154">
        <f>2</f>
        <v>2</v>
      </c>
      <c r="P288" s="154">
        <f>2</f>
        <v>2</v>
      </c>
      <c r="Q288" s="154">
        <f>2</f>
        <v>2</v>
      </c>
    </row>
    <row r="289" spans="1:17" s="12" customFormat="1" ht="15" x14ac:dyDescent="0.2">
      <c r="A289" s="327" t="s">
        <v>995</v>
      </c>
      <c r="B289" s="365" t="s">
        <v>102</v>
      </c>
      <c r="C289" s="59" t="s">
        <v>1167</v>
      </c>
      <c r="D289" s="154">
        <f>2</f>
        <v>2</v>
      </c>
      <c r="E289" s="154">
        <f>2</f>
        <v>2</v>
      </c>
      <c r="F289" s="154">
        <f>2</f>
        <v>2</v>
      </c>
      <c r="G289" s="154">
        <f>2</f>
        <v>2</v>
      </c>
      <c r="H289" s="154">
        <f>2</f>
        <v>2</v>
      </c>
      <c r="I289" s="154">
        <f>2</f>
        <v>2</v>
      </c>
      <c r="J289" s="154">
        <f>2</f>
        <v>2</v>
      </c>
      <c r="K289" s="154">
        <f>2</f>
        <v>2</v>
      </c>
      <c r="L289" s="154">
        <f>2</f>
        <v>2</v>
      </c>
      <c r="M289" s="154">
        <f>2</f>
        <v>2</v>
      </c>
      <c r="N289" s="154">
        <f>2</f>
        <v>2</v>
      </c>
      <c r="O289" s="154">
        <f>2</f>
        <v>2</v>
      </c>
      <c r="P289" s="154">
        <f>2</f>
        <v>2</v>
      </c>
      <c r="Q289" s="154">
        <f>2</f>
        <v>2</v>
      </c>
    </row>
    <row r="290" spans="1:17" s="12" customFormat="1" ht="15" x14ac:dyDescent="0.2">
      <c r="A290" s="329"/>
      <c r="B290" s="366"/>
      <c r="C290" s="59" t="s">
        <v>996</v>
      </c>
      <c r="D290" s="154">
        <f>2</f>
        <v>2</v>
      </c>
      <c r="E290" s="154">
        <f>2</f>
        <v>2</v>
      </c>
      <c r="F290" s="154">
        <f>2</f>
        <v>2</v>
      </c>
      <c r="G290" s="154">
        <f>2</f>
        <v>2</v>
      </c>
      <c r="H290" s="154">
        <f>2</f>
        <v>2</v>
      </c>
      <c r="I290" s="154">
        <f>2+1</f>
        <v>3</v>
      </c>
      <c r="J290" s="154">
        <f t="shared" ref="J290:Q290" si="35">2+1</f>
        <v>3</v>
      </c>
      <c r="K290" s="154">
        <f t="shared" si="35"/>
        <v>3</v>
      </c>
      <c r="L290" s="154">
        <f t="shared" si="35"/>
        <v>3</v>
      </c>
      <c r="M290" s="154">
        <f t="shared" si="35"/>
        <v>3</v>
      </c>
      <c r="N290" s="154">
        <f t="shared" si="35"/>
        <v>3</v>
      </c>
      <c r="O290" s="154">
        <f t="shared" si="35"/>
        <v>3</v>
      </c>
      <c r="P290" s="154">
        <f t="shared" si="35"/>
        <v>3</v>
      </c>
      <c r="Q290" s="154">
        <f t="shared" si="35"/>
        <v>3</v>
      </c>
    </row>
    <row r="291" spans="1:17" s="12" customFormat="1" ht="30" x14ac:dyDescent="0.2">
      <c r="A291" s="59" t="s">
        <v>997</v>
      </c>
      <c r="B291" s="9" t="s">
        <v>998</v>
      </c>
      <c r="C291" s="59" t="s">
        <v>999</v>
      </c>
      <c r="D291" s="154">
        <f>2+1</f>
        <v>3</v>
      </c>
      <c r="E291" s="154">
        <f t="shared" ref="E291:F291" si="36">2+1</f>
        <v>3</v>
      </c>
      <c r="F291" s="154">
        <f t="shared" si="36"/>
        <v>3</v>
      </c>
      <c r="G291" s="154">
        <f>2+2</f>
        <v>4</v>
      </c>
      <c r="H291" s="154">
        <f t="shared" ref="H291:K291" si="37">2+2</f>
        <v>4</v>
      </c>
      <c r="I291" s="154">
        <f t="shared" si="37"/>
        <v>4</v>
      </c>
      <c r="J291" s="154">
        <f t="shared" si="37"/>
        <v>4</v>
      </c>
      <c r="K291" s="154">
        <f t="shared" si="37"/>
        <v>4</v>
      </c>
      <c r="L291" s="154">
        <f>2+3</f>
        <v>5</v>
      </c>
      <c r="M291" s="154">
        <f t="shared" ref="M291:N291" si="38">2+3</f>
        <v>5</v>
      </c>
      <c r="N291" s="154">
        <f t="shared" si="38"/>
        <v>5</v>
      </c>
      <c r="O291" s="154">
        <f>2+5</f>
        <v>7</v>
      </c>
      <c r="P291" s="154">
        <f t="shared" ref="P291:Q291" si="39">2+5</f>
        <v>7</v>
      </c>
      <c r="Q291" s="154">
        <f t="shared" si="39"/>
        <v>7</v>
      </c>
    </row>
    <row r="292" spans="1:17" s="12" customFormat="1" ht="14.25" customHeight="1" x14ac:dyDescent="0.2">
      <c r="A292" s="59" t="s">
        <v>11</v>
      </c>
      <c r="B292" s="319" t="s">
        <v>12</v>
      </c>
      <c r="C292" s="320"/>
      <c r="D292" s="75"/>
      <c r="E292" s="75"/>
      <c r="F292" s="75"/>
      <c r="G292" s="100"/>
      <c r="H292" s="75"/>
      <c r="I292" s="75"/>
      <c r="J292" s="75"/>
      <c r="K292" s="75"/>
      <c r="L292" s="75"/>
      <c r="M292" s="75"/>
      <c r="N292" s="75"/>
      <c r="O292" s="75"/>
      <c r="P292" s="92"/>
      <c r="Q292" s="92"/>
    </row>
    <row r="293" spans="1:17" s="12" customFormat="1" ht="45" x14ac:dyDescent="0.2">
      <c r="A293" s="59" t="s">
        <v>1000</v>
      </c>
      <c r="B293" s="59" t="s">
        <v>1001</v>
      </c>
      <c r="C293" s="59" t="s">
        <v>1002</v>
      </c>
      <c r="D293" s="75">
        <f>2</f>
        <v>2</v>
      </c>
      <c r="E293" s="75">
        <f>2</f>
        <v>2</v>
      </c>
      <c r="F293" s="75">
        <f>2</f>
        <v>2</v>
      </c>
      <c r="G293" s="75">
        <f>2</f>
        <v>2</v>
      </c>
      <c r="H293" s="75">
        <f>2</f>
        <v>2</v>
      </c>
      <c r="I293" s="75">
        <f>2+1</f>
        <v>3</v>
      </c>
      <c r="J293" s="75">
        <f t="shared" ref="J293:Q293" si="40">2+1</f>
        <v>3</v>
      </c>
      <c r="K293" s="75">
        <f t="shared" si="40"/>
        <v>3</v>
      </c>
      <c r="L293" s="75">
        <f t="shared" si="40"/>
        <v>3</v>
      </c>
      <c r="M293" s="75">
        <f t="shared" si="40"/>
        <v>3</v>
      </c>
      <c r="N293" s="75">
        <f t="shared" si="40"/>
        <v>3</v>
      </c>
      <c r="O293" s="75">
        <f t="shared" si="40"/>
        <v>3</v>
      </c>
      <c r="P293" s="75">
        <f t="shared" si="40"/>
        <v>3</v>
      </c>
      <c r="Q293" s="75">
        <f t="shared" si="40"/>
        <v>3</v>
      </c>
    </row>
    <row r="294" spans="1:17" s="12" customFormat="1" ht="45" x14ac:dyDescent="0.2">
      <c r="A294" s="59" t="s">
        <v>1003</v>
      </c>
      <c r="B294" s="59" t="s">
        <v>1004</v>
      </c>
      <c r="C294" s="59" t="s">
        <v>1005</v>
      </c>
      <c r="D294" s="75">
        <f>5+1</f>
        <v>6</v>
      </c>
      <c r="E294" s="75">
        <f t="shared" ref="E294:H294" si="41">5+1</f>
        <v>6</v>
      </c>
      <c r="F294" s="75">
        <f t="shared" si="41"/>
        <v>6</v>
      </c>
      <c r="G294" s="75">
        <f t="shared" si="41"/>
        <v>6</v>
      </c>
      <c r="H294" s="75">
        <f t="shared" si="41"/>
        <v>6</v>
      </c>
      <c r="I294" s="75">
        <f>5+2</f>
        <v>7</v>
      </c>
      <c r="J294" s="75">
        <f t="shared" ref="J294:K294" si="42">5+2</f>
        <v>7</v>
      </c>
      <c r="K294" s="75">
        <f t="shared" si="42"/>
        <v>7</v>
      </c>
      <c r="L294" s="75">
        <f>5+3</f>
        <v>8</v>
      </c>
      <c r="M294" s="75">
        <f t="shared" ref="M294:Q294" si="43">5+3</f>
        <v>8</v>
      </c>
      <c r="N294" s="75">
        <f t="shared" si="43"/>
        <v>8</v>
      </c>
      <c r="O294" s="75">
        <f t="shared" si="43"/>
        <v>8</v>
      </c>
      <c r="P294" s="75">
        <f t="shared" si="43"/>
        <v>8</v>
      </c>
      <c r="Q294" s="75">
        <f t="shared" si="43"/>
        <v>8</v>
      </c>
    </row>
    <row r="295" spans="1:17" s="12" customFormat="1" ht="75" x14ac:dyDescent="0.2">
      <c r="A295" s="59" t="s">
        <v>1006</v>
      </c>
      <c r="B295" s="59" t="s">
        <v>1007</v>
      </c>
      <c r="C295" s="59" t="s">
        <v>1008</v>
      </c>
      <c r="D295" s="75">
        <f>20</f>
        <v>20</v>
      </c>
      <c r="E295" s="75">
        <f>20</f>
        <v>20</v>
      </c>
      <c r="F295" s="75">
        <f>20</f>
        <v>20</v>
      </c>
      <c r="G295" s="75">
        <f>20</f>
        <v>20</v>
      </c>
      <c r="H295" s="75">
        <f>20</f>
        <v>20</v>
      </c>
      <c r="I295" s="75">
        <f>20+1</f>
        <v>21</v>
      </c>
      <c r="J295" s="75">
        <f t="shared" ref="J295:P295" si="44">20+1</f>
        <v>21</v>
      </c>
      <c r="K295" s="75">
        <f t="shared" si="44"/>
        <v>21</v>
      </c>
      <c r="L295" s="75">
        <f t="shared" si="44"/>
        <v>21</v>
      </c>
      <c r="M295" s="75">
        <f t="shared" si="44"/>
        <v>21</v>
      </c>
      <c r="N295" s="75">
        <f t="shared" si="44"/>
        <v>21</v>
      </c>
      <c r="O295" s="75">
        <f t="shared" si="44"/>
        <v>21</v>
      </c>
      <c r="P295" s="75">
        <f t="shared" si="44"/>
        <v>21</v>
      </c>
      <c r="Q295" s="75">
        <f>20+1</f>
        <v>21</v>
      </c>
    </row>
    <row r="296" spans="1:17" s="12" customFormat="1" ht="30" x14ac:dyDescent="0.2">
      <c r="A296" s="59" t="s">
        <v>1009</v>
      </c>
      <c r="B296" s="59" t="s">
        <v>98</v>
      </c>
      <c r="C296" s="59" t="s">
        <v>1010</v>
      </c>
      <c r="D296" s="75">
        <f>5</f>
        <v>5</v>
      </c>
      <c r="E296" s="75">
        <f>5</f>
        <v>5</v>
      </c>
      <c r="F296" s="75">
        <f>5</f>
        <v>5</v>
      </c>
      <c r="G296" s="75">
        <f>5</f>
        <v>5</v>
      </c>
      <c r="H296" s="75">
        <f>5</f>
        <v>5</v>
      </c>
      <c r="I296" s="75">
        <f>5+1</f>
        <v>6</v>
      </c>
      <c r="J296" s="75">
        <f t="shared" ref="J296:Q297" si="45">5+1</f>
        <v>6</v>
      </c>
      <c r="K296" s="75">
        <f t="shared" si="45"/>
        <v>6</v>
      </c>
      <c r="L296" s="75">
        <f t="shared" si="45"/>
        <v>6</v>
      </c>
      <c r="M296" s="75">
        <f t="shared" si="45"/>
        <v>6</v>
      </c>
      <c r="N296" s="75">
        <f t="shared" si="45"/>
        <v>6</v>
      </c>
      <c r="O296" s="75">
        <f t="shared" si="45"/>
        <v>6</v>
      </c>
      <c r="P296" s="75">
        <f t="shared" si="45"/>
        <v>6</v>
      </c>
      <c r="Q296" s="75">
        <f t="shared" si="45"/>
        <v>6</v>
      </c>
    </row>
    <row r="297" spans="1:17" s="12" customFormat="1" ht="60" x14ac:dyDescent="0.2">
      <c r="A297" s="59" t="s">
        <v>1011</v>
      </c>
      <c r="B297" s="59" t="s">
        <v>1012</v>
      </c>
      <c r="C297" s="59" t="s">
        <v>1013</v>
      </c>
      <c r="D297" s="75">
        <f>5</f>
        <v>5</v>
      </c>
      <c r="E297" s="75">
        <f>5</f>
        <v>5</v>
      </c>
      <c r="F297" s="75">
        <f>5</f>
        <v>5</v>
      </c>
      <c r="G297" s="75">
        <f>5</f>
        <v>5</v>
      </c>
      <c r="H297" s="75">
        <f>5</f>
        <v>5</v>
      </c>
      <c r="I297" s="75">
        <f>5+1</f>
        <v>6</v>
      </c>
      <c r="J297" s="75">
        <f t="shared" si="45"/>
        <v>6</v>
      </c>
      <c r="K297" s="75">
        <f t="shared" si="45"/>
        <v>6</v>
      </c>
      <c r="L297" s="75">
        <f t="shared" si="45"/>
        <v>6</v>
      </c>
      <c r="M297" s="75">
        <f t="shared" si="45"/>
        <v>6</v>
      </c>
      <c r="N297" s="75">
        <f t="shared" si="45"/>
        <v>6</v>
      </c>
      <c r="O297" s="75">
        <f t="shared" si="45"/>
        <v>6</v>
      </c>
      <c r="P297" s="75">
        <f t="shared" si="45"/>
        <v>6</v>
      </c>
      <c r="Q297" s="75">
        <f t="shared" si="45"/>
        <v>6</v>
      </c>
    </row>
    <row r="298" spans="1:17" s="12" customFormat="1" ht="30" x14ac:dyDescent="0.2">
      <c r="A298" s="59" t="s">
        <v>1014</v>
      </c>
      <c r="B298" s="59" t="s">
        <v>1168</v>
      </c>
      <c r="C298" s="59" t="s">
        <v>1015</v>
      </c>
      <c r="D298" s="75">
        <f>5</f>
        <v>5</v>
      </c>
      <c r="E298" s="75">
        <f>5</f>
        <v>5</v>
      </c>
      <c r="F298" s="75">
        <f>5</f>
        <v>5</v>
      </c>
      <c r="G298" s="75">
        <f>5</f>
        <v>5</v>
      </c>
      <c r="H298" s="75">
        <f>5</f>
        <v>5</v>
      </c>
      <c r="I298" s="75">
        <f>5</f>
        <v>5</v>
      </c>
      <c r="J298" s="75">
        <f>5</f>
        <v>5</v>
      </c>
      <c r="K298" s="75">
        <f>5</f>
        <v>5</v>
      </c>
      <c r="L298" s="75">
        <f>5</f>
        <v>5</v>
      </c>
      <c r="M298" s="75">
        <f>5</f>
        <v>5</v>
      </c>
      <c r="N298" s="75">
        <f>5</f>
        <v>5</v>
      </c>
      <c r="O298" s="75">
        <f>5</f>
        <v>5</v>
      </c>
      <c r="P298" s="75">
        <f>5</f>
        <v>5</v>
      </c>
      <c r="Q298" s="75">
        <f>5</f>
        <v>5</v>
      </c>
    </row>
    <row r="299" spans="1:17" s="12" customFormat="1" ht="75" x14ac:dyDescent="0.2">
      <c r="A299" s="59" t="s">
        <v>1014</v>
      </c>
      <c r="B299" s="59" t="s">
        <v>1016</v>
      </c>
      <c r="C299" s="59" t="s">
        <v>1015</v>
      </c>
      <c r="D299" s="75">
        <f>5</f>
        <v>5</v>
      </c>
      <c r="E299" s="75">
        <f>5</f>
        <v>5</v>
      </c>
      <c r="F299" s="75">
        <f>5</f>
        <v>5</v>
      </c>
      <c r="G299" s="75">
        <f>5</f>
        <v>5</v>
      </c>
      <c r="H299" s="75">
        <f>5</f>
        <v>5</v>
      </c>
      <c r="I299" s="75">
        <f>5+1</f>
        <v>6</v>
      </c>
      <c r="J299" s="75">
        <f t="shared" ref="J299:Q299" si="46">5+1</f>
        <v>6</v>
      </c>
      <c r="K299" s="75">
        <f t="shared" si="46"/>
        <v>6</v>
      </c>
      <c r="L299" s="75">
        <f t="shared" si="46"/>
        <v>6</v>
      </c>
      <c r="M299" s="75">
        <f t="shared" si="46"/>
        <v>6</v>
      </c>
      <c r="N299" s="75">
        <f t="shared" si="46"/>
        <v>6</v>
      </c>
      <c r="O299" s="75">
        <f t="shared" si="46"/>
        <v>6</v>
      </c>
      <c r="P299" s="75">
        <f t="shared" si="46"/>
        <v>6</v>
      </c>
      <c r="Q299" s="75">
        <f t="shared" si="46"/>
        <v>6</v>
      </c>
    </row>
    <row r="300" spans="1:17" s="12" customFormat="1" ht="60" x14ac:dyDescent="0.2">
      <c r="A300" s="59" t="s">
        <v>1017</v>
      </c>
      <c r="B300" s="59" t="s">
        <v>1018</v>
      </c>
      <c r="C300" s="59" t="s">
        <v>1019</v>
      </c>
      <c r="D300" s="75">
        <f>10</f>
        <v>10</v>
      </c>
      <c r="E300" s="75">
        <f>10</f>
        <v>10</v>
      </c>
      <c r="F300" s="75">
        <f>10</f>
        <v>10</v>
      </c>
      <c r="G300" s="75">
        <f>10</f>
        <v>10</v>
      </c>
      <c r="H300" s="75">
        <f>10</f>
        <v>10</v>
      </c>
      <c r="I300" s="75">
        <f>10</f>
        <v>10</v>
      </c>
      <c r="J300" s="75">
        <f>10</f>
        <v>10</v>
      </c>
      <c r="K300" s="75">
        <f>10</f>
        <v>10</v>
      </c>
      <c r="L300" s="75">
        <f>10</f>
        <v>10</v>
      </c>
      <c r="M300" s="75">
        <f>10</f>
        <v>10</v>
      </c>
      <c r="N300" s="75">
        <f>10</f>
        <v>10</v>
      </c>
      <c r="O300" s="75">
        <f>10</f>
        <v>10</v>
      </c>
      <c r="P300" s="75">
        <f>10</f>
        <v>10</v>
      </c>
      <c r="Q300" s="75">
        <f>10</f>
        <v>10</v>
      </c>
    </row>
    <row r="301" spans="1:17" s="12" customFormat="1" ht="45" x14ac:dyDescent="0.2">
      <c r="A301" s="14" t="s">
        <v>1020</v>
      </c>
      <c r="B301" s="14" t="s">
        <v>1021</v>
      </c>
      <c r="C301" s="14" t="s">
        <v>1022</v>
      </c>
      <c r="D301" s="20">
        <f>5</f>
        <v>5</v>
      </c>
      <c r="E301" s="20">
        <f>5</f>
        <v>5</v>
      </c>
      <c r="F301" s="20">
        <f>5</f>
        <v>5</v>
      </c>
      <c r="G301" s="20">
        <f>5</f>
        <v>5</v>
      </c>
      <c r="H301" s="20">
        <f>5</f>
        <v>5</v>
      </c>
      <c r="I301" s="20">
        <f>5</f>
        <v>5</v>
      </c>
      <c r="J301" s="20">
        <f>5</f>
        <v>5</v>
      </c>
      <c r="K301" s="20">
        <f>5</f>
        <v>5</v>
      </c>
      <c r="L301" s="20">
        <f>5</f>
        <v>5</v>
      </c>
      <c r="M301" s="20">
        <f>5</f>
        <v>5</v>
      </c>
      <c r="N301" s="20">
        <f>5</f>
        <v>5</v>
      </c>
      <c r="O301" s="20">
        <f>5</f>
        <v>5</v>
      </c>
      <c r="P301" s="20">
        <f>5</f>
        <v>5</v>
      </c>
      <c r="Q301" s="20">
        <f>5</f>
        <v>5</v>
      </c>
    </row>
    <row r="302" spans="1:17" s="12" customFormat="1" ht="60" x14ac:dyDescent="0.2">
      <c r="A302" s="14" t="s">
        <v>1023</v>
      </c>
      <c r="B302" s="14" t="s">
        <v>1024</v>
      </c>
      <c r="C302" s="14" t="s">
        <v>1025</v>
      </c>
      <c r="D302" s="20">
        <f>2</f>
        <v>2</v>
      </c>
      <c r="E302" s="20">
        <f>2</f>
        <v>2</v>
      </c>
      <c r="F302" s="20">
        <f>2</f>
        <v>2</v>
      </c>
      <c r="G302" s="20">
        <f>2</f>
        <v>2</v>
      </c>
      <c r="H302" s="20">
        <f>2</f>
        <v>2</v>
      </c>
      <c r="I302" s="20">
        <f>2</f>
        <v>2</v>
      </c>
      <c r="J302" s="20">
        <f>2</f>
        <v>2</v>
      </c>
      <c r="K302" s="20">
        <f>2</f>
        <v>2</v>
      </c>
      <c r="L302" s="20">
        <f>2</f>
        <v>2</v>
      </c>
      <c r="M302" s="20">
        <f>2</f>
        <v>2</v>
      </c>
      <c r="N302" s="20">
        <f>2</f>
        <v>2</v>
      </c>
      <c r="O302" s="20">
        <f>2</f>
        <v>2</v>
      </c>
      <c r="P302" s="20">
        <f>2</f>
        <v>2</v>
      </c>
      <c r="Q302" s="20">
        <f>2</f>
        <v>2</v>
      </c>
    </row>
    <row r="303" spans="1:17" ht="28.5" customHeight="1" x14ac:dyDescent="0.2">
      <c r="A303" s="59" t="s">
        <v>13</v>
      </c>
      <c r="B303" s="309" t="s">
        <v>14</v>
      </c>
      <c r="C303" s="309"/>
      <c r="D303" s="75"/>
      <c r="E303" s="75"/>
      <c r="F303" s="75"/>
      <c r="G303" s="100"/>
      <c r="H303" s="75"/>
      <c r="I303" s="75"/>
      <c r="J303" s="75"/>
      <c r="K303" s="75"/>
      <c r="L303" s="75"/>
      <c r="M303" s="75"/>
      <c r="N303" s="75"/>
      <c r="O303" s="75"/>
      <c r="P303" s="92"/>
      <c r="Q303" s="92"/>
    </row>
    <row r="304" spans="1:17" ht="37.5" customHeight="1" x14ac:dyDescent="0.2">
      <c r="A304" s="59" t="s">
        <v>1026</v>
      </c>
      <c r="B304" s="59" t="s">
        <v>1027</v>
      </c>
      <c r="C304" s="59" t="s">
        <v>1028</v>
      </c>
      <c r="D304" s="75">
        <f>10</f>
        <v>10</v>
      </c>
      <c r="E304" s="75">
        <f>10</f>
        <v>10</v>
      </c>
      <c r="F304" s="75">
        <f>10</f>
        <v>10</v>
      </c>
      <c r="G304" s="75">
        <f>10</f>
        <v>10</v>
      </c>
      <c r="H304" s="75">
        <f>10</f>
        <v>10</v>
      </c>
      <c r="I304" s="75">
        <f>10</f>
        <v>10</v>
      </c>
      <c r="J304" s="75">
        <f>10</f>
        <v>10</v>
      </c>
      <c r="K304" s="75">
        <f>10</f>
        <v>10</v>
      </c>
      <c r="L304" s="75">
        <f>10</f>
        <v>10</v>
      </c>
      <c r="M304" s="75">
        <f>10</f>
        <v>10</v>
      </c>
      <c r="N304" s="75">
        <f>10</f>
        <v>10</v>
      </c>
      <c r="O304" s="75">
        <f>10</f>
        <v>10</v>
      </c>
      <c r="P304" s="75">
        <f>10</f>
        <v>10</v>
      </c>
      <c r="Q304" s="75">
        <f>10</f>
        <v>10</v>
      </c>
    </row>
    <row r="305" spans="1:17" ht="72.75" customHeight="1" x14ac:dyDescent="0.2">
      <c r="A305" s="59" t="s">
        <v>1029</v>
      </c>
      <c r="B305" s="59" t="s">
        <v>1030</v>
      </c>
      <c r="C305" s="59" t="s">
        <v>1031</v>
      </c>
      <c r="D305" s="75">
        <f>10</f>
        <v>10</v>
      </c>
      <c r="E305" s="75">
        <f>10</f>
        <v>10</v>
      </c>
      <c r="F305" s="75">
        <f>10</f>
        <v>10</v>
      </c>
      <c r="G305" s="75">
        <f>10</f>
        <v>10</v>
      </c>
      <c r="H305" s="75">
        <f>10</f>
        <v>10</v>
      </c>
      <c r="I305" s="75">
        <f>10</f>
        <v>10</v>
      </c>
      <c r="J305" s="75">
        <f>10</f>
        <v>10</v>
      </c>
      <c r="K305" s="75">
        <f>10</f>
        <v>10</v>
      </c>
      <c r="L305" s="75">
        <f>10</f>
        <v>10</v>
      </c>
      <c r="M305" s="75">
        <f>10</f>
        <v>10</v>
      </c>
      <c r="N305" s="75">
        <f>10</f>
        <v>10</v>
      </c>
      <c r="O305" s="75">
        <f>10</f>
        <v>10</v>
      </c>
      <c r="P305" s="75">
        <f>10</f>
        <v>10</v>
      </c>
      <c r="Q305" s="75">
        <f>10</f>
        <v>10</v>
      </c>
    </row>
    <row r="306" spans="1:17" ht="60" x14ac:dyDescent="0.2">
      <c r="A306" s="59" t="s">
        <v>1052</v>
      </c>
      <c r="B306" s="59" t="s">
        <v>1053</v>
      </c>
      <c r="C306" s="59" t="s">
        <v>1054</v>
      </c>
      <c r="D306" s="75">
        <f>10</f>
        <v>10</v>
      </c>
      <c r="E306" s="75">
        <f>10</f>
        <v>10</v>
      </c>
      <c r="F306" s="75">
        <f>10</f>
        <v>10</v>
      </c>
      <c r="G306" s="75">
        <f>10</f>
        <v>10</v>
      </c>
      <c r="H306" s="75">
        <f>10</f>
        <v>10</v>
      </c>
      <c r="I306" s="75">
        <f>10</f>
        <v>10</v>
      </c>
      <c r="J306" s="75">
        <f>10</f>
        <v>10</v>
      </c>
      <c r="K306" s="75">
        <f>10</f>
        <v>10</v>
      </c>
      <c r="L306" s="75">
        <f>10</f>
        <v>10</v>
      </c>
      <c r="M306" s="75">
        <f>10</f>
        <v>10</v>
      </c>
      <c r="N306" s="75">
        <f>10</f>
        <v>10</v>
      </c>
      <c r="O306" s="75">
        <f>10</f>
        <v>10</v>
      </c>
      <c r="P306" s="75">
        <f>10</f>
        <v>10</v>
      </c>
      <c r="Q306" s="75">
        <f>10</f>
        <v>10</v>
      </c>
    </row>
    <row r="307" spans="1:17" ht="15" x14ac:dyDescent="0.2">
      <c r="A307" s="59" t="s">
        <v>1055</v>
      </c>
      <c r="B307" s="59" t="s">
        <v>272</v>
      </c>
      <c r="C307" s="59" t="s">
        <v>1056</v>
      </c>
      <c r="D307" s="75">
        <f>10</f>
        <v>10</v>
      </c>
      <c r="E307" s="75">
        <f>10</f>
        <v>10</v>
      </c>
      <c r="F307" s="75">
        <f>10</f>
        <v>10</v>
      </c>
      <c r="G307" s="75">
        <f>10</f>
        <v>10</v>
      </c>
      <c r="H307" s="75">
        <f>10</f>
        <v>10</v>
      </c>
      <c r="I307" s="75">
        <f>10</f>
        <v>10</v>
      </c>
      <c r="J307" s="75">
        <f>10</f>
        <v>10</v>
      </c>
      <c r="K307" s="75">
        <f>10</f>
        <v>10</v>
      </c>
      <c r="L307" s="75">
        <f>10</f>
        <v>10</v>
      </c>
      <c r="M307" s="75">
        <f>10</f>
        <v>10</v>
      </c>
      <c r="N307" s="75">
        <f>10</f>
        <v>10</v>
      </c>
      <c r="O307" s="75">
        <f>10</f>
        <v>10</v>
      </c>
      <c r="P307" s="75">
        <f>10</f>
        <v>10</v>
      </c>
      <c r="Q307" s="75">
        <f>10</f>
        <v>10</v>
      </c>
    </row>
    <row r="308" spans="1:17" ht="30" x14ac:dyDescent="0.2">
      <c r="A308" s="59" t="s">
        <v>1037</v>
      </c>
      <c r="B308" s="59" t="s">
        <v>1038</v>
      </c>
      <c r="C308" s="59" t="s">
        <v>1039</v>
      </c>
      <c r="D308" s="75">
        <f>10</f>
        <v>10</v>
      </c>
      <c r="E308" s="75">
        <f>10</f>
        <v>10</v>
      </c>
      <c r="F308" s="75">
        <f>10</f>
        <v>10</v>
      </c>
      <c r="G308" s="75">
        <f>10</f>
        <v>10</v>
      </c>
      <c r="H308" s="75">
        <f>10</f>
        <v>10</v>
      </c>
      <c r="I308" s="75">
        <f>10</f>
        <v>10</v>
      </c>
      <c r="J308" s="75">
        <f>10</f>
        <v>10</v>
      </c>
      <c r="K308" s="75">
        <f>10</f>
        <v>10</v>
      </c>
      <c r="L308" s="75">
        <f>10</f>
        <v>10</v>
      </c>
      <c r="M308" s="75">
        <f>10</f>
        <v>10</v>
      </c>
      <c r="N308" s="75">
        <f>10</f>
        <v>10</v>
      </c>
      <c r="O308" s="75">
        <f>10</f>
        <v>10</v>
      </c>
      <c r="P308" s="75">
        <f>10</f>
        <v>10</v>
      </c>
      <c r="Q308" s="75">
        <f>10</f>
        <v>10</v>
      </c>
    </row>
    <row r="309" spans="1:17" ht="75" x14ac:dyDescent="0.2">
      <c r="A309" s="59" t="s">
        <v>1037</v>
      </c>
      <c r="B309" s="59" t="s">
        <v>1169</v>
      </c>
      <c r="C309" s="59" t="s">
        <v>1170</v>
      </c>
      <c r="D309" s="75">
        <f>10</f>
        <v>10</v>
      </c>
      <c r="E309" s="75">
        <f>10</f>
        <v>10</v>
      </c>
      <c r="F309" s="75">
        <f>10</f>
        <v>10</v>
      </c>
      <c r="G309" s="75">
        <f>10</f>
        <v>10</v>
      </c>
      <c r="H309" s="75">
        <f>10</f>
        <v>10</v>
      </c>
      <c r="I309" s="75">
        <f>10</f>
        <v>10</v>
      </c>
      <c r="J309" s="75">
        <f>10</f>
        <v>10</v>
      </c>
      <c r="K309" s="75">
        <f>10</f>
        <v>10</v>
      </c>
      <c r="L309" s="75">
        <f>10</f>
        <v>10</v>
      </c>
      <c r="M309" s="75">
        <f>10</f>
        <v>10</v>
      </c>
      <c r="N309" s="75">
        <f>10</f>
        <v>10</v>
      </c>
      <c r="O309" s="75">
        <f>10</f>
        <v>10</v>
      </c>
      <c r="P309" s="75">
        <f>10</f>
        <v>10</v>
      </c>
      <c r="Q309" s="75">
        <f>10</f>
        <v>10</v>
      </c>
    </row>
    <row r="310" spans="1:17" ht="32.25" customHeight="1" x14ac:dyDescent="0.2">
      <c r="A310" s="59" t="s">
        <v>1032</v>
      </c>
      <c r="B310" s="59" t="s">
        <v>1033</v>
      </c>
      <c r="C310" s="59" t="s">
        <v>1034</v>
      </c>
      <c r="D310" s="75">
        <f>10</f>
        <v>10</v>
      </c>
      <c r="E310" s="75">
        <f>10</f>
        <v>10</v>
      </c>
      <c r="F310" s="75">
        <f>10</f>
        <v>10</v>
      </c>
      <c r="G310" s="75">
        <f>10</f>
        <v>10</v>
      </c>
      <c r="H310" s="75">
        <f>10</f>
        <v>10</v>
      </c>
      <c r="I310" s="75">
        <f>10</f>
        <v>10</v>
      </c>
      <c r="J310" s="75">
        <f>10</f>
        <v>10</v>
      </c>
      <c r="K310" s="75">
        <f>10</f>
        <v>10</v>
      </c>
      <c r="L310" s="75">
        <f>10</f>
        <v>10</v>
      </c>
      <c r="M310" s="75">
        <f>10</f>
        <v>10</v>
      </c>
      <c r="N310" s="75">
        <f>10</f>
        <v>10</v>
      </c>
      <c r="O310" s="75">
        <f>10</f>
        <v>10</v>
      </c>
      <c r="P310" s="75">
        <f>10</f>
        <v>10</v>
      </c>
      <c r="Q310" s="75">
        <f>10</f>
        <v>10</v>
      </c>
    </row>
    <row r="311" spans="1:17" ht="30" x14ac:dyDescent="0.2">
      <c r="A311" s="59" t="s">
        <v>1035</v>
      </c>
      <c r="B311" s="59" t="s">
        <v>565</v>
      </c>
      <c r="C311" s="59" t="s">
        <v>1036</v>
      </c>
      <c r="D311" s="75">
        <f>1</f>
        <v>1</v>
      </c>
      <c r="E311" s="75">
        <f>1</f>
        <v>1</v>
      </c>
      <c r="F311" s="75">
        <f>1</f>
        <v>1</v>
      </c>
      <c r="G311" s="75">
        <f>1</f>
        <v>1</v>
      </c>
      <c r="H311" s="75">
        <f>1</f>
        <v>1</v>
      </c>
      <c r="I311" s="75">
        <f>1</f>
        <v>1</v>
      </c>
      <c r="J311" s="75">
        <f>1</f>
        <v>1</v>
      </c>
      <c r="K311" s="75">
        <f>1</f>
        <v>1</v>
      </c>
      <c r="L311" s="75">
        <f>1</f>
        <v>1</v>
      </c>
      <c r="M311" s="75">
        <f>1</f>
        <v>1</v>
      </c>
      <c r="N311" s="75">
        <f>1</f>
        <v>1</v>
      </c>
      <c r="O311" s="75">
        <f>1</f>
        <v>1</v>
      </c>
      <c r="P311" s="75">
        <f>1</f>
        <v>1</v>
      </c>
      <c r="Q311" s="75">
        <f>1</f>
        <v>1</v>
      </c>
    </row>
    <row r="312" spans="1:17" ht="30" x14ac:dyDescent="0.2">
      <c r="A312" s="59" t="s">
        <v>1057</v>
      </c>
      <c r="B312" s="59" t="s">
        <v>1058</v>
      </c>
      <c r="C312" s="59" t="s">
        <v>1059</v>
      </c>
      <c r="D312" s="127">
        <f>3</f>
        <v>3</v>
      </c>
      <c r="E312" s="127">
        <f>3</f>
        <v>3</v>
      </c>
      <c r="F312" s="127">
        <f>3</f>
        <v>3</v>
      </c>
      <c r="G312" s="127">
        <f>3</f>
        <v>3</v>
      </c>
      <c r="H312" s="127">
        <f>3</f>
        <v>3</v>
      </c>
      <c r="I312" s="127">
        <f>3</f>
        <v>3</v>
      </c>
      <c r="J312" s="127">
        <f>3</f>
        <v>3</v>
      </c>
      <c r="K312" s="127">
        <f>3</f>
        <v>3</v>
      </c>
      <c r="L312" s="127">
        <f>3</f>
        <v>3</v>
      </c>
      <c r="M312" s="127">
        <f>3</f>
        <v>3</v>
      </c>
      <c r="N312" s="127">
        <f>3</f>
        <v>3</v>
      </c>
      <c r="O312" s="127">
        <f>3</f>
        <v>3</v>
      </c>
      <c r="P312" s="127">
        <f>3</f>
        <v>3</v>
      </c>
      <c r="Q312" s="127">
        <f>3</f>
        <v>3</v>
      </c>
    </row>
    <row r="313" spans="1:17" ht="15" x14ac:dyDescent="0.2">
      <c r="A313" s="59" t="s">
        <v>569</v>
      </c>
      <c r="B313" s="319" t="s">
        <v>570</v>
      </c>
      <c r="C313" s="320"/>
      <c r="D313" s="127"/>
      <c r="E313" s="127"/>
      <c r="F313" s="127"/>
      <c r="G313" s="128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</row>
    <row r="314" spans="1:17" ht="45" x14ac:dyDescent="0.2">
      <c r="A314" s="59" t="s">
        <v>1060</v>
      </c>
      <c r="B314" s="59" t="s">
        <v>1061</v>
      </c>
      <c r="C314" s="59" t="s">
        <v>1062</v>
      </c>
      <c r="D314" s="127"/>
      <c r="E314" s="127">
        <f>1</f>
        <v>1</v>
      </c>
      <c r="F314" s="127">
        <f>1</f>
        <v>1</v>
      </c>
      <c r="G314" s="127">
        <f>1</f>
        <v>1</v>
      </c>
      <c r="H314" s="127">
        <f>1</f>
        <v>1</v>
      </c>
      <c r="I314" s="127">
        <f>1</f>
        <v>1</v>
      </c>
      <c r="J314" s="127"/>
      <c r="K314" s="127"/>
      <c r="L314" s="127"/>
      <c r="M314" s="127"/>
      <c r="N314" s="127"/>
      <c r="O314" s="127"/>
      <c r="P314" s="127"/>
      <c r="Q314" s="127"/>
    </row>
    <row r="315" spans="1:17" ht="62.25" customHeight="1" x14ac:dyDescent="0.2">
      <c r="A315" s="59" t="s">
        <v>1063</v>
      </c>
      <c r="B315" s="59" t="s">
        <v>1064</v>
      </c>
      <c r="C315" s="59" t="s">
        <v>1065</v>
      </c>
      <c r="D315" s="127"/>
      <c r="E315" s="127">
        <f>1</f>
        <v>1</v>
      </c>
      <c r="F315" s="127">
        <f>1</f>
        <v>1</v>
      </c>
      <c r="G315" s="127">
        <f>1</f>
        <v>1</v>
      </c>
      <c r="H315" s="127">
        <f>1</f>
        <v>1</v>
      </c>
      <c r="I315" s="127">
        <f>1</f>
        <v>1</v>
      </c>
      <c r="J315" s="127"/>
      <c r="K315" s="127"/>
      <c r="L315" s="127"/>
      <c r="M315" s="127"/>
      <c r="N315" s="127"/>
      <c r="O315" s="127"/>
      <c r="P315" s="127"/>
      <c r="Q315" s="127"/>
    </row>
    <row r="316" spans="1:17" s="74" customFormat="1" ht="21.75" customHeight="1" x14ac:dyDescent="0.2">
      <c r="A316" s="321" t="s">
        <v>1196</v>
      </c>
      <c r="B316" s="322"/>
      <c r="C316" s="323"/>
      <c r="D316" s="178">
        <f>SUM(D278:D315)</f>
        <v>171</v>
      </c>
      <c r="E316" s="178">
        <f t="shared" ref="E316:Q316" si="47">SUM(E278:E315)</f>
        <v>173</v>
      </c>
      <c r="F316" s="178">
        <f t="shared" si="47"/>
        <v>173</v>
      </c>
      <c r="G316" s="178">
        <f t="shared" si="47"/>
        <v>179</v>
      </c>
      <c r="H316" s="178">
        <f t="shared" si="47"/>
        <v>182</v>
      </c>
      <c r="I316" s="178">
        <f t="shared" si="47"/>
        <v>189</v>
      </c>
      <c r="J316" s="178">
        <f t="shared" si="47"/>
        <v>187</v>
      </c>
      <c r="K316" s="178">
        <f t="shared" si="47"/>
        <v>187</v>
      </c>
      <c r="L316" s="178">
        <f t="shared" si="47"/>
        <v>193</v>
      </c>
      <c r="M316" s="178">
        <f t="shared" si="47"/>
        <v>193</v>
      </c>
      <c r="N316" s="178">
        <f t="shared" si="47"/>
        <v>192</v>
      </c>
      <c r="O316" s="178">
        <f t="shared" si="47"/>
        <v>194</v>
      </c>
      <c r="P316" s="178">
        <f t="shared" si="47"/>
        <v>194</v>
      </c>
      <c r="Q316" s="178">
        <f t="shared" si="47"/>
        <v>194</v>
      </c>
    </row>
    <row r="317" spans="1:17" s="78" customFormat="1" ht="21.75" customHeight="1" x14ac:dyDescent="0.2">
      <c r="A317" s="324" t="s">
        <v>1206</v>
      </c>
      <c r="B317" s="325"/>
      <c r="C317" s="326"/>
      <c r="D317" s="179">
        <f>D316+D275+D261+D252+D245+D235</f>
        <v>1280</v>
      </c>
      <c r="E317" s="179">
        <f t="shared" ref="E317:P317" si="48">E316+E275+E261+E252+E245+E235</f>
        <v>1218</v>
      </c>
      <c r="F317" s="179">
        <f t="shared" si="48"/>
        <v>1187</v>
      </c>
      <c r="G317" s="179">
        <f t="shared" si="48"/>
        <v>1207</v>
      </c>
      <c r="H317" s="179">
        <f t="shared" si="48"/>
        <v>1234</v>
      </c>
      <c r="I317" s="179">
        <f t="shared" si="48"/>
        <v>1234</v>
      </c>
      <c r="J317" s="179">
        <f t="shared" si="48"/>
        <v>1247</v>
      </c>
      <c r="K317" s="179">
        <f t="shared" si="48"/>
        <v>1231</v>
      </c>
      <c r="L317" s="179">
        <f t="shared" si="48"/>
        <v>1241</v>
      </c>
      <c r="M317" s="179">
        <f t="shared" si="48"/>
        <v>1258</v>
      </c>
      <c r="N317" s="179">
        <f t="shared" si="48"/>
        <v>1261</v>
      </c>
      <c r="O317" s="179">
        <f t="shared" si="48"/>
        <v>1273</v>
      </c>
      <c r="P317" s="179">
        <f t="shared" si="48"/>
        <v>1277</v>
      </c>
      <c r="Q317" s="179">
        <f>Q316+Q275+Q261+Q252+Q245+Q235</f>
        <v>1290</v>
      </c>
    </row>
    <row r="318" spans="1:17" s="175" customFormat="1" ht="32.25" customHeight="1" x14ac:dyDescent="0.3">
      <c r="A318" s="343" t="s">
        <v>893</v>
      </c>
      <c r="B318" s="344"/>
      <c r="C318" s="345"/>
      <c r="D318" s="174">
        <f>D317+D180</f>
        <v>11554</v>
      </c>
      <c r="E318" s="174">
        <f t="shared" ref="E318:Q318" si="49">E317+E180</f>
        <v>12191</v>
      </c>
      <c r="F318" s="174">
        <f t="shared" si="49"/>
        <v>12798</v>
      </c>
      <c r="G318" s="174">
        <f t="shared" si="49"/>
        <v>13418</v>
      </c>
      <c r="H318" s="174">
        <f t="shared" si="49"/>
        <v>14238</v>
      </c>
      <c r="I318" s="174">
        <f t="shared" si="49"/>
        <v>15056</v>
      </c>
      <c r="J318" s="174">
        <f t="shared" si="49"/>
        <v>15785</v>
      </c>
      <c r="K318" s="174">
        <f t="shared" si="49"/>
        <v>16478</v>
      </c>
      <c r="L318" s="174">
        <f t="shared" si="49"/>
        <v>17147</v>
      </c>
      <c r="M318" s="174">
        <f t="shared" si="49"/>
        <v>17943</v>
      </c>
      <c r="N318" s="174">
        <f t="shared" si="49"/>
        <v>18678</v>
      </c>
      <c r="O318" s="174">
        <f t="shared" si="49"/>
        <v>19536</v>
      </c>
      <c r="P318" s="174">
        <f t="shared" si="49"/>
        <v>20347</v>
      </c>
      <c r="Q318" s="174">
        <f t="shared" si="49"/>
        <v>21217</v>
      </c>
    </row>
    <row r="319" spans="1:17" x14ac:dyDescent="0.2">
      <c r="D319" s="17"/>
      <c r="E319" s="17"/>
      <c r="F319" s="17"/>
      <c r="G319" s="52"/>
      <c r="H319" s="17"/>
      <c r="I319" s="17"/>
      <c r="J319" s="17"/>
      <c r="K319" s="17"/>
      <c r="L319" s="17"/>
      <c r="M319" s="17"/>
      <c r="N319" s="17"/>
      <c r="O319" s="17"/>
      <c r="P319" s="17"/>
      <c r="Q319" s="17"/>
    </row>
    <row r="320" spans="1:17" x14ac:dyDescent="0.2">
      <c r="D320" s="17"/>
      <c r="E320" s="17"/>
      <c r="F320" s="17"/>
      <c r="G320" s="52"/>
      <c r="H320" s="17"/>
      <c r="I320" s="17"/>
      <c r="J320" s="17"/>
      <c r="K320" s="17"/>
      <c r="L320" s="17"/>
      <c r="M320" s="17"/>
      <c r="N320" s="17"/>
      <c r="O320" s="17"/>
      <c r="P320" s="17"/>
      <c r="Q320" s="17"/>
    </row>
  </sheetData>
  <mergeCells count="132">
    <mergeCell ref="B277:C277"/>
    <mergeCell ref="B282:B283"/>
    <mergeCell ref="A282:A283"/>
    <mergeCell ref="B285:B286"/>
    <mergeCell ref="A285:A286"/>
    <mergeCell ref="B289:B290"/>
    <mergeCell ref="A289:A290"/>
    <mergeCell ref="B231:C231"/>
    <mergeCell ref="B166:B167"/>
    <mergeCell ref="A166:A167"/>
    <mergeCell ref="B256:C256"/>
    <mergeCell ref="B270:C270"/>
    <mergeCell ref="A262:C262"/>
    <mergeCell ref="A276:C276"/>
    <mergeCell ref="A235:C235"/>
    <mergeCell ref="A245:C245"/>
    <mergeCell ref="A252:C252"/>
    <mergeCell ref="A261:C261"/>
    <mergeCell ref="A275:C275"/>
    <mergeCell ref="B164:C164"/>
    <mergeCell ref="B194:C194"/>
    <mergeCell ref="A181:C181"/>
    <mergeCell ref="B202:C202"/>
    <mergeCell ref="A174:C174"/>
    <mergeCell ref="B175:C175"/>
    <mergeCell ref="A163:C163"/>
    <mergeCell ref="B156:C156"/>
    <mergeCell ref="B147:B149"/>
    <mergeCell ref="A150:A152"/>
    <mergeCell ref="A147:A149"/>
    <mergeCell ref="B150:B152"/>
    <mergeCell ref="B153:B154"/>
    <mergeCell ref="A153:A154"/>
    <mergeCell ref="A179:B179"/>
    <mergeCell ref="A173:C173"/>
    <mergeCell ref="A162:C162"/>
    <mergeCell ref="A180:C180"/>
    <mergeCell ref="A117:A118"/>
    <mergeCell ref="B119:B121"/>
    <mergeCell ref="A139:A146"/>
    <mergeCell ref="B139:B146"/>
    <mergeCell ref="B135:C135"/>
    <mergeCell ref="A130:A131"/>
    <mergeCell ref="B130:B131"/>
    <mergeCell ref="B125:B127"/>
    <mergeCell ref="A125:A127"/>
    <mergeCell ref="A132:A133"/>
    <mergeCell ref="B132:B133"/>
    <mergeCell ref="A67:A71"/>
    <mergeCell ref="B74:C74"/>
    <mergeCell ref="B78:C78"/>
    <mergeCell ref="A318:C318"/>
    <mergeCell ref="A246:C246"/>
    <mergeCell ref="B250:C250"/>
    <mergeCell ref="A253:B253"/>
    <mergeCell ref="B254:C254"/>
    <mergeCell ref="A168:A170"/>
    <mergeCell ref="B168:B170"/>
    <mergeCell ref="B226:C226"/>
    <mergeCell ref="B208:C208"/>
    <mergeCell ref="A236:C236"/>
    <mergeCell ref="B237:C237"/>
    <mergeCell ref="B242:C242"/>
    <mergeCell ref="B216:C216"/>
    <mergeCell ref="B233:C233"/>
    <mergeCell ref="B313:C313"/>
    <mergeCell ref="B292:C292"/>
    <mergeCell ref="B303:C303"/>
    <mergeCell ref="B183:C183"/>
    <mergeCell ref="A182:C182"/>
    <mergeCell ref="B247:C247"/>
    <mergeCell ref="B263:C263"/>
    <mergeCell ref="O1:Q1"/>
    <mergeCell ref="D4:Q4"/>
    <mergeCell ref="A7:C7"/>
    <mergeCell ref="B10:C10"/>
    <mergeCell ref="A11:A12"/>
    <mergeCell ref="B11:B12"/>
    <mergeCell ref="A15:A16"/>
    <mergeCell ref="B15:B16"/>
    <mergeCell ref="B13:B14"/>
    <mergeCell ref="A13:A14"/>
    <mergeCell ref="N2:Q2"/>
    <mergeCell ref="A3:Q3"/>
    <mergeCell ref="B88:C88"/>
    <mergeCell ref="A103:A104"/>
    <mergeCell ref="B103:B104"/>
    <mergeCell ref="B72:B73"/>
    <mergeCell ref="A89:A98"/>
    <mergeCell ref="B85:C85"/>
    <mergeCell ref="A316:C316"/>
    <mergeCell ref="A317:C317"/>
    <mergeCell ref="B113:B115"/>
    <mergeCell ref="A109:A110"/>
    <mergeCell ref="B89:B93"/>
    <mergeCell ref="B94:B98"/>
    <mergeCell ref="B109:B110"/>
    <mergeCell ref="B111:B112"/>
    <mergeCell ref="A113:A115"/>
    <mergeCell ref="A111:A112"/>
    <mergeCell ref="B272:C272"/>
    <mergeCell ref="B279:C279"/>
    <mergeCell ref="B284:C284"/>
    <mergeCell ref="A119:A121"/>
    <mergeCell ref="B122:B124"/>
    <mergeCell ref="A122:A124"/>
    <mergeCell ref="B128:C128"/>
    <mergeCell ref="B117:B118"/>
    <mergeCell ref="A21:A26"/>
    <mergeCell ref="B21:B26"/>
    <mergeCell ref="A47:A50"/>
    <mergeCell ref="B47:B50"/>
    <mergeCell ref="A51:A53"/>
    <mergeCell ref="B17:B20"/>
    <mergeCell ref="A17:A20"/>
    <mergeCell ref="B43:B46"/>
    <mergeCell ref="A72:A73"/>
    <mergeCell ref="A27:A32"/>
    <mergeCell ref="B27:B32"/>
    <mergeCell ref="A33:A38"/>
    <mergeCell ref="B33:B38"/>
    <mergeCell ref="A54:A56"/>
    <mergeCell ref="B54:B56"/>
    <mergeCell ref="A39:A42"/>
    <mergeCell ref="B39:B42"/>
    <mergeCell ref="B51:B53"/>
    <mergeCell ref="A43:A46"/>
    <mergeCell ref="B58:B60"/>
    <mergeCell ref="A63:A66"/>
    <mergeCell ref="B67:B71"/>
    <mergeCell ref="A58:A60"/>
    <mergeCell ref="B63:B66"/>
  </mergeCells>
  <hyperlinks>
    <hyperlink ref="A8" location="P41" display="P41"/>
  </hyperlinks>
  <pageMargins left="0.25" right="0.25" top="0.75" bottom="0.75" header="0.3" footer="0.3"/>
  <pageSetup paperSize="9" scale="72" fitToHeight="0" orientation="landscape" r:id="rId1"/>
  <ignoredErrors>
    <ignoredError sqref="P16 O17 L18 H19 H21 D35 F37:G37 D38:E38 L37 J40:K40 G40:H40 L40:M40 E48 K66 I67 D66 H69 L75 N75 G76 I81 O81:P81 E81:F81 G82 K83 O83 L80 L82 N82 I77 E102:M102 F99:G99 L99 G103 O103:P103 P104 D106:Q106 I104:J104 N104 L110:P110 N109 H110:I110 L112 P114:P115 E116 M117 E118:E119 E126:Q126 D130 I137 M137 F139:F142 D149:Q149 H155 F171:G171 P169 E172 H172:I172 I185 M185 E195:E196 O196 K196:L196 H199 N200 K200 P199 M198 O203 E203:E204 I204 O207 K207 F206 E211:Q211 G209:G210 O209 F204 E221 E225 F227 P229 I265 L265 F268 I289:M289 I298:Q298 E87 E184 F196 F215" formula="1"/>
    <ignoredError sqref="A39 A43 A47 A51 A57:A60 A61:A73 A75 A77:A79 A80:A82 A86:A87 A89 A99:A101 A102:A107 A109:A137 A138:A146 A147:A155 A157:A161 A184:A192 A193:A198 A199:A201 A203:A209 A210:A213 A214:A221 A223:A23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Прилож. №4 ВПО</vt:lpstr>
      <vt:lpstr>СПО</vt:lpstr>
      <vt:lpstr>'Прилож. №4 ВПО'!sub_10004</vt:lpstr>
      <vt:lpstr>'Прилож. №4 ВПО'!sub_10005</vt:lpstr>
      <vt:lpstr>'Прилож. №4 ВПО'!sub_180301</vt:lpstr>
      <vt:lpstr>'Прилож. №4 ВПО'!sub_350305</vt:lpstr>
      <vt:lpstr>'Прилож. №4 ВПО'!sub_530301</vt:lpstr>
      <vt:lpstr>'Прилож. №4 ВПО'!sub_540000</vt:lpstr>
      <vt:lpstr>'Прилож. №4 ВПО'!sub_8350405</vt:lpstr>
      <vt:lpstr>'Прилож. №4 ВПО'!sub_8460000</vt:lpstr>
      <vt:lpstr>'Прилож. №4 ВПО'!Область_печати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Юсуфова Гуля Ярахмедовна</dc:creator>
  <cp:lastModifiedBy>Алиева Зайнаб Магомедовна</cp:lastModifiedBy>
  <cp:lastPrinted>2022-11-29T14:03:59Z</cp:lastPrinted>
  <dcterms:created xsi:type="dcterms:W3CDTF">2006-09-28T05:33:49Z</dcterms:created>
  <dcterms:modified xsi:type="dcterms:W3CDTF">2022-11-29T15:17:16Z</dcterms:modified>
</cp:coreProperties>
</file>